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i\Desktop\"/>
    </mc:Choice>
  </mc:AlternateContent>
  <bookViews>
    <workbookView xWindow="0" yWindow="0" windowWidth="28800" windowHeight="114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S149" i="1" l="1"/>
  <c r="R149" i="1"/>
  <c r="Q149" i="1"/>
  <c r="P149" i="1"/>
  <c r="O149" i="1"/>
  <c r="N149" i="1"/>
  <c r="M149" i="1"/>
  <c r="L149" i="1"/>
  <c r="K149" i="1"/>
  <c r="J149" i="1"/>
  <c r="A149" i="1"/>
  <c r="S123" i="1"/>
  <c r="R123" i="1"/>
  <c r="Q123" i="1"/>
  <c r="M123" i="1"/>
  <c r="L123" i="1"/>
  <c r="K123" i="1"/>
  <c r="J123" i="1"/>
  <c r="A123" i="1"/>
  <c r="S124" i="1"/>
  <c r="R124" i="1"/>
  <c r="Q124" i="1"/>
  <c r="M124" i="1"/>
  <c r="L124" i="1"/>
  <c r="K124" i="1"/>
  <c r="J124" i="1"/>
  <c r="A124" i="1"/>
  <c r="S126" i="1" l="1"/>
  <c r="R126" i="1"/>
  <c r="Q126" i="1"/>
  <c r="M126" i="1"/>
  <c r="L126" i="1"/>
  <c r="K126" i="1"/>
  <c r="J126" i="1"/>
  <c r="A126" i="1"/>
  <c r="S101" i="1" l="1"/>
  <c r="R101" i="1"/>
  <c r="Q101" i="1"/>
  <c r="M101" i="1"/>
  <c r="L101" i="1"/>
  <c r="K101" i="1"/>
  <c r="J101" i="1"/>
  <c r="A101" i="1"/>
  <c r="N61" i="1" l="1"/>
  <c r="N60" i="1"/>
  <c r="S102" i="1" l="1"/>
  <c r="R102" i="1"/>
  <c r="Q102" i="1"/>
  <c r="M102" i="1"/>
  <c r="L102" i="1"/>
  <c r="K102" i="1"/>
  <c r="J102" i="1"/>
  <c r="A102" i="1"/>
  <c r="L91" i="1" l="1"/>
  <c r="P88" i="1"/>
  <c r="N88" i="1"/>
  <c r="P87" i="1"/>
  <c r="N87" i="1"/>
  <c r="P72" i="1"/>
  <c r="N72" i="1"/>
  <c r="P71" i="1"/>
  <c r="N71" i="1"/>
  <c r="P70" i="1"/>
  <c r="N70" i="1"/>
  <c r="P69" i="1"/>
  <c r="N69" i="1"/>
  <c r="P63" i="1"/>
  <c r="N63" i="1"/>
  <c r="P62" i="1"/>
  <c r="N62" i="1"/>
  <c r="P60" i="1"/>
  <c r="P59" i="1"/>
  <c r="N59" i="1"/>
  <c r="P58" i="1"/>
  <c r="N58" i="1"/>
  <c r="N51" i="1"/>
  <c r="N101" i="1" s="1"/>
  <c r="P51" i="1"/>
  <c r="P101" i="1" s="1"/>
  <c r="J53" i="1"/>
  <c r="P52" i="1"/>
  <c r="P126" i="1" s="1"/>
  <c r="M53" i="1"/>
  <c r="N52" i="1"/>
  <c r="N126" i="1" s="1"/>
  <c r="L53" i="1"/>
  <c r="K53" i="1"/>
  <c r="P73" i="1"/>
  <c r="N73" i="1"/>
  <c r="P50" i="1"/>
  <c r="N50" i="1"/>
  <c r="P49" i="1"/>
  <c r="N49" i="1"/>
  <c r="P48" i="1"/>
  <c r="N48" i="1"/>
  <c r="P47" i="1"/>
  <c r="N47" i="1"/>
  <c r="P41" i="1"/>
  <c r="P102" i="1" s="1"/>
  <c r="N41" i="1"/>
  <c r="N102" i="1" s="1"/>
  <c r="P40" i="1"/>
  <c r="N40" i="1"/>
  <c r="P39" i="1"/>
  <c r="N39" i="1"/>
  <c r="P38" i="1"/>
  <c r="N38" i="1"/>
  <c r="P37" i="1"/>
  <c r="N37" i="1"/>
  <c r="N123" i="1" l="1"/>
  <c r="P124" i="1"/>
  <c r="P123" i="1"/>
  <c r="N124" i="1"/>
  <c r="O58" i="1"/>
  <c r="O60" i="1"/>
  <c r="O63" i="1"/>
  <c r="O72" i="1"/>
  <c r="O88" i="1"/>
  <c r="O87" i="1"/>
  <c r="O69" i="1"/>
  <c r="O52" i="1"/>
  <c r="O126" i="1" s="1"/>
  <c r="O59" i="1"/>
  <c r="O62" i="1"/>
  <c r="O71" i="1"/>
  <c r="O38" i="1"/>
  <c r="O49" i="1"/>
  <c r="O73" i="1"/>
  <c r="O51" i="1"/>
  <c r="O101" i="1" s="1"/>
  <c r="O70" i="1"/>
  <c r="N53" i="1"/>
  <c r="P53" i="1"/>
  <c r="O50" i="1"/>
  <c r="O47" i="1"/>
  <c r="O123" i="1" s="1"/>
  <c r="O39" i="1"/>
  <c r="O48" i="1"/>
  <c r="O40" i="1"/>
  <c r="O37" i="1"/>
  <c r="O41" i="1"/>
  <c r="O102" i="1" s="1"/>
  <c r="U6" i="1"/>
  <c r="U5" i="1"/>
  <c r="U4" i="1"/>
  <c r="U3" i="1"/>
  <c r="O124" i="1" l="1"/>
  <c r="O53" i="1"/>
  <c r="T75" i="1" l="1"/>
  <c r="J91" i="1" l="1"/>
  <c r="T64" i="1" l="1"/>
  <c r="T42" i="1" l="1"/>
  <c r="M183" i="1" l="1"/>
  <c r="L183" i="1"/>
  <c r="K183" i="1"/>
  <c r="S182" i="1"/>
  <c r="R182" i="1"/>
  <c r="Q182" i="1"/>
  <c r="M182" i="1"/>
  <c r="L182" i="1"/>
  <c r="K182" i="1"/>
  <c r="J182" i="1"/>
  <c r="P178" i="1"/>
  <c r="N178" i="1"/>
  <c r="P172" i="1"/>
  <c r="N172" i="1"/>
  <c r="P176" i="1"/>
  <c r="N176" i="1"/>
  <c r="P179" i="1"/>
  <c r="N179" i="1"/>
  <c r="P175" i="1"/>
  <c r="N175" i="1"/>
  <c r="P173" i="1"/>
  <c r="N173" i="1"/>
  <c r="O176" i="1" l="1"/>
  <c r="N182" i="1"/>
  <c r="P182" i="1"/>
  <c r="N183" i="1"/>
  <c r="P183" i="1"/>
  <c r="K184" i="1"/>
  <c r="O178" i="1"/>
  <c r="O172" i="1"/>
  <c r="O179" i="1"/>
  <c r="O173" i="1"/>
  <c r="O175" i="1"/>
  <c r="O183" i="1" l="1"/>
  <c r="N184" i="1" s="1"/>
  <c r="O182" i="1"/>
  <c r="U29" i="1" l="1"/>
  <c r="U28" i="1"/>
  <c r="M92" i="1" l="1"/>
  <c r="L92" i="1"/>
  <c r="K92" i="1"/>
  <c r="S91" i="1"/>
  <c r="R91" i="1"/>
  <c r="Q91" i="1"/>
  <c r="M91" i="1"/>
  <c r="K91" i="1"/>
  <c r="P90" i="1"/>
  <c r="P74" i="1"/>
  <c r="S146" i="1" l="1"/>
  <c r="R146" i="1"/>
  <c r="Q146" i="1"/>
  <c r="P146" i="1"/>
  <c r="O146" i="1"/>
  <c r="N146" i="1"/>
  <c r="M146" i="1"/>
  <c r="L146" i="1"/>
  <c r="K146" i="1"/>
  <c r="J146" i="1"/>
  <c r="A146" i="1"/>
  <c r="S145" i="1"/>
  <c r="R145" i="1"/>
  <c r="Q145" i="1"/>
  <c r="M145" i="1"/>
  <c r="L145" i="1"/>
  <c r="K145" i="1"/>
  <c r="J145" i="1"/>
  <c r="A145" i="1"/>
  <c r="S134" i="1"/>
  <c r="R134" i="1"/>
  <c r="Q134" i="1"/>
  <c r="P134" i="1"/>
  <c r="O134" i="1"/>
  <c r="N134" i="1"/>
  <c r="M134" i="1"/>
  <c r="L134" i="1"/>
  <c r="K134" i="1"/>
  <c r="J134" i="1"/>
  <c r="A134" i="1"/>
  <c r="S131" i="1"/>
  <c r="R131" i="1"/>
  <c r="Q131" i="1"/>
  <c r="P131" i="1"/>
  <c r="O131" i="1"/>
  <c r="N131" i="1"/>
  <c r="M131" i="1"/>
  <c r="L131" i="1"/>
  <c r="K131" i="1"/>
  <c r="J131" i="1"/>
  <c r="A131" i="1"/>
  <c r="S130" i="1"/>
  <c r="R130" i="1"/>
  <c r="Q130" i="1"/>
  <c r="M130" i="1"/>
  <c r="L130" i="1"/>
  <c r="K130" i="1"/>
  <c r="J130" i="1"/>
  <c r="A130" i="1"/>
  <c r="S127" i="1"/>
  <c r="R127" i="1"/>
  <c r="Q127" i="1"/>
  <c r="P127" i="1"/>
  <c r="O127" i="1"/>
  <c r="N127" i="1"/>
  <c r="M127" i="1"/>
  <c r="L127" i="1"/>
  <c r="K127" i="1"/>
  <c r="J127" i="1"/>
  <c r="A127" i="1"/>
  <c r="S125" i="1"/>
  <c r="R125" i="1"/>
  <c r="Q125" i="1"/>
  <c r="P125" i="1"/>
  <c r="O125" i="1"/>
  <c r="N125" i="1"/>
  <c r="M125" i="1"/>
  <c r="L125" i="1"/>
  <c r="K125" i="1"/>
  <c r="J125" i="1"/>
  <c r="A125" i="1"/>
  <c r="S122" i="1"/>
  <c r="R122" i="1"/>
  <c r="Q122" i="1"/>
  <c r="P122" i="1"/>
  <c r="O122" i="1"/>
  <c r="N122" i="1"/>
  <c r="M122" i="1"/>
  <c r="L122" i="1"/>
  <c r="K122" i="1"/>
  <c r="J122" i="1"/>
  <c r="A122" i="1"/>
  <c r="S121" i="1"/>
  <c r="R121" i="1"/>
  <c r="Q121" i="1"/>
  <c r="M121" i="1"/>
  <c r="L121" i="1"/>
  <c r="K121" i="1"/>
  <c r="J121" i="1"/>
  <c r="A121" i="1"/>
  <c r="S132" i="1"/>
  <c r="R132" i="1"/>
  <c r="Q132" i="1"/>
  <c r="P132" i="1"/>
  <c r="M132" i="1"/>
  <c r="L132" i="1"/>
  <c r="K132" i="1"/>
  <c r="J132" i="1"/>
  <c r="A132" i="1"/>
  <c r="S120" i="1"/>
  <c r="R120" i="1"/>
  <c r="Q120" i="1"/>
  <c r="P120" i="1"/>
  <c r="O120" i="1"/>
  <c r="N120" i="1"/>
  <c r="M120" i="1"/>
  <c r="L120" i="1"/>
  <c r="K120" i="1"/>
  <c r="J120" i="1"/>
  <c r="A120" i="1"/>
  <c r="S119" i="1"/>
  <c r="R119" i="1"/>
  <c r="Q119" i="1"/>
  <c r="P119" i="1"/>
  <c r="O119" i="1"/>
  <c r="N119" i="1"/>
  <c r="M119" i="1"/>
  <c r="L119" i="1"/>
  <c r="K119" i="1"/>
  <c r="J119" i="1"/>
  <c r="A119" i="1"/>
  <c r="S118" i="1"/>
  <c r="R118" i="1"/>
  <c r="Q118" i="1"/>
  <c r="P118" i="1"/>
  <c r="O118" i="1"/>
  <c r="N118" i="1"/>
  <c r="M118" i="1"/>
  <c r="L118" i="1"/>
  <c r="K118" i="1"/>
  <c r="J118" i="1"/>
  <c r="A118" i="1"/>
  <c r="S117" i="1"/>
  <c r="R117" i="1"/>
  <c r="Q117" i="1"/>
  <c r="M117" i="1"/>
  <c r="L117" i="1"/>
  <c r="K117" i="1"/>
  <c r="J117" i="1"/>
  <c r="A117" i="1"/>
  <c r="S106" i="1"/>
  <c r="R106" i="1"/>
  <c r="Q106" i="1"/>
  <c r="M106" i="1"/>
  <c r="L106" i="1"/>
  <c r="K106" i="1"/>
  <c r="J106" i="1"/>
  <c r="A106" i="1"/>
  <c r="Q100" i="1" l="1"/>
  <c r="R99" i="1"/>
  <c r="S99" i="1"/>
  <c r="A103" i="1" l="1"/>
  <c r="A100" i="1"/>
  <c r="S103" i="1"/>
  <c r="R103" i="1"/>
  <c r="Q103" i="1"/>
  <c r="P103" i="1"/>
  <c r="O103" i="1"/>
  <c r="N103" i="1"/>
  <c r="M103" i="1"/>
  <c r="L103" i="1"/>
  <c r="K103" i="1"/>
  <c r="J103" i="1"/>
  <c r="S100" i="1"/>
  <c r="R100" i="1"/>
  <c r="M100" i="1"/>
  <c r="L100" i="1"/>
  <c r="K100" i="1"/>
  <c r="J100" i="1"/>
  <c r="Q99" i="1"/>
  <c r="M99" i="1"/>
  <c r="L99" i="1"/>
  <c r="K99" i="1"/>
  <c r="J99" i="1"/>
  <c r="A99" i="1"/>
  <c r="S150" i="1" l="1"/>
  <c r="R150" i="1"/>
  <c r="Q150" i="1"/>
  <c r="M150" i="1"/>
  <c r="L150" i="1"/>
  <c r="K150" i="1"/>
  <c r="J150" i="1"/>
  <c r="S147" i="1"/>
  <c r="R147" i="1"/>
  <c r="Q147" i="1"/>
  <c r="M147" i="1"/>
  <c r="L147" i="1"/>
  <c r="K147" i="1"/>
  <c r="J147" i="1"/>
  <c r="S135" i="1"/>
  <c r="R135" i="1"/>
  <c r="Q135" i="1"/>
  <c r="M135" i="1"/>
  <c r="L135" i="1"/>
  <c r="K135" i="1"/>
  <c r="J135" i="1"/>
  <c r="S128" i="1"/>
  <c r="R128" i="1"/>
  <c r="Q128" i="1"/>
  <c r="M128" i="1"/>
  <c r="L128" i="1"/>
  <c r="K128" i="1"/>
  <c r="J128" i="1"/>
  <c r="S107" i="1"/>
  <c r="R107" i="1"/>
  <c r="Q107" i="1"/>
  <c r="M107" i="1"/>
  <c r="L107" i="1"/>
  <c r="K107" i="1"/>
  <c r="J107" i="1"/>
  <c r="P85" i="1"/>
  <c r="N83" i="1"/>
  <c r="N90" i="1"/>
  <c r="O90" i="1" s="1"/>
  <c r="N85" i="1"/>
  <c r="P83" i="1"/>
  <c r="S75" i="1"/>
  <c r="R75" i="1"/>
  <c r="Q75" i="1"/>
  <c r="M75" i="1"/>
  <c r="L75" i="1"/>
  <c r="K75" i="1"/>
  <c r="J75" i="1"/>
  <c r="N74" i="1"/>
  <c r="N132" i="1" s="1"/>
  <c r="S64" i="1"/>
  <c r="R64" i="1"/>
  <c r="Q64" i="1"/>
  <c r="M64" i="1"/>
  <c r="L64" i="1"/>
  <c r="K64" i="1"/>
  <c r="J64" i="1"/>
  <c r="S160" i="1" s="1"/>
  <c r="S162" i="1" s="1"/>
  <c r="P145" i="1"/>
  <c r="N145" i="1"/>
  <c r="K42" i="1"/>
  <c r="S42" i="1"/>
  <c r="R42" i="1"/>
  <c r="Q42" i="1"/>
  <c r="M42" i="1"/>
  <c r="L42" i="1"/>
  <c r="J42" i="1"/>
  <c r="R160" i="1" s="1"/>
  <c r="R162" i="1" s="1"/>
  <c r="O83" i="1" l="1"/>
  <c r="U75" i="1"/>
  <c r="U42" i="1"/>
  <c r="N64" i="1"/>
  <c r="U64" i="1"/>
  <c r="N91" i="1"/>
  <c r="N92" i="1"/>
  <c r="J161" i="1" s="1"/>
  <c r="P91" i="1"/>
  <c r="P92" i="1"/>
  <c r="S136" i="1"/>
  <c r="P64" i="1"/>
  <c r="O85" i="1"/>
  <c r="M136" i="1"/>
  <c r="L151" i="1"/>
  <c r="J136" i="1"/>
  <c r="L136" i="1"/>
  <c r="Q136" i="1"/>
  <c r="K137" i="1"/>
  <c r="M137" i="1"/>
  <c r="R136" i="1"/>
  <c r="M152" i="1"/>
  <c r="R151" i="1"/>
  <c r="N150" i="1"/>
  <c r="N147" i="1"/>
  <c r="N130" i="1"/>
  <c r="N135" i="1" s="1"/>
  <c r="N117" i="1"/>
  <c r="N106" i="1"/>
  <c r="N107" i="1" s="1"/>
  <c r="N99" i="1"/>
  <c r="P121" i="1"/>
  <c r="P100" i="1"/>
  <c r="O74" i="1"/>
  <c r="O132" i="1" s="1"/>
  <c r="P150" i="1"/>
  <c r="P147" i="1"/>
  <c r="P130" i="1"/>
  <c r="P135" i="1" s="1"/>
  <c r="P117" i="1"/>
  <c r="P106" i="1"/>
  <c r="P107" i="1" s="1"/>
  <c r="P99" i="1"/>
  <c r="N121" i="1"/>
  <c r="N100" i="1"/>
  <c r="L137" i="1"/>
  <c r="N42" i="1"/>
  <c r="J151" i="1"/>
  <c r="L152" i="1"/>
  <c r="Q151" i="1"/>
  <c r="S151" i="1"/>
  <c r="M104" i="1"/>
  <c r="M108" i="1" s="1"/>
  <c r="K104" i="1"/>
  <c r="K108" i="1" s="1"/>
  <c r="R104" i="1"/>
  <c r="R108" i="1" s="1"/>
  <c r="L104" i="1"/>
  <c r="L108" i="1" s="1"/>
  <c r="Q104" i="1"/>
  <c r="Q108" i="1" s="1"/>
  <c r="S104" i="1"/>
  <c r="S108" i="1" s="1"/>
  <c r="J104" i="1"/>
  <c r="J108" i="1" s="1"/>
  <c r="N75" i="1"/>
  <c r="P42" i="1"/>
  <c r="O145" i="1"/>
  <c r="K93" i="1"/>
  <c r="P75" i="1"/>
  <c r="K136" i="1"/>
  <c r="M151" i="1"/>
  <c r="K152" i="1"/>
  <c r="K151" i="1"/>
  <c r="H161" i="1" l="1"/>
  <c r="J160" i="1"/>
  <c r="O91" i="1"/>
  <c r="O92" i="1"/>
  <c r="L161" i="1" s="1"/>
  <c r="N161" i="1" s="1"/>
  <c r="U161" i="1" s="1"/>
  <c r="P128" i="1"/>
  <c r="K153" i="1"/>
  <c r="K138" i="1"/>
  <c r="P151" i="1"/>
  <c r="P104" i="1"/>
  <c r="P109" i="1" s="1"/>
  <c r="P152" i="1"/>
  <c r="K109" i="1"/>
  <c r="O121" i="1"/>
  <c r="O100" i="1"/>
  <c r="O117" i="1"/>
  <c r="O150" i="1"/>
  <c r="O147" i="1"/>
  <c r="O130" i="1"/>
  <c r="O135" i="1" s="1"/>
  <c r="O106" i="1"/>
  <c r="O107" i="1" s="1"/>
  <c r="O99" i="1"/>
  <c r="N151" i="1"/>
  <c r="N152" i="1"/>
  <c r="N128" i="1"/>
  <c r="N104" i="1"/>
  <c r="N108" i="1" s="1"/>
  <c r="M109" i="1"/>
  <c r="L109" i="1"/>
  <c r="O42" i="1"/>
  <c r="O75" i="1"/>
  <c r="O64" i="1"/>
  <c r="L160" i="1" l="1"/>
  <c r="L162" i="1" s="1"/>
  <c r="J162" i="1"/>
  <c r="H160" i="1"/>
  <c r="N93" i="1"/>
  <c r="P108" i="1"/>
  <c r="O128" i="1"/>
  <c r="O136" i="1" s="1"/>
  <c r="P137" i="1"/>
  <c r="P136" i="1"/>
  <c r="K110" i="1"/>
  <c r="O104" i="1"/>
  <c r="O109" i="1" s="1"/>
  <c r="O152" i="1"/>
  <c r="N153" i="1" s="1"/>
  <c r="O151" i="1"/>
  <c r="N137" i="1"/>
  <c r="N136" i="1"/>
  <c r="N109" i="1"/>
  <c r="N160" i="1" l="1"/>
  <c r="N162" i="1" s="1"/>
  <c r="H162" i="1"/>
  <c r="P161" i="1" s="1"/>
  <c r="N110" i="1"/>
  <c r="O108" i="1"/>
  <c r="O137" i="1"/>
  <c r="N138" i="1" s="1"/>
  <c r="P160" i="1" l="1"/>
  <c r="P162" i="1" s="1"/>
  <c r="U53" i="1"/>
  <c r="Q53" i="1"/>
  <c r="S53" i="1"/>
</calcChain>
</file>

<file path=xl/sharedStrings.xml><?xml version="1.0" encoding="utf-8"?>
<sst xmlns="http://schemas.openxmlformats.org/spreadsheetml/2006/main" count="431" uniqueCount="166">
  <si>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</si>
  <si>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</si>
  <si>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</si>
  <si>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</si>
  <si>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</si>
  <si>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</si>
  <si>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</si>
  <si>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</si>
  <si>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</si>
  <si>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</si>
  <si>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</si>
  <si>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</si>
  <si>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</si>
  <si>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</si>
  <si>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</si>
  <si>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</si>
  <si>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</si>
  <si>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</si>
  <si>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</si>
  <si>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</si>
  <si>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</si>
  <si>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</si>
  <si>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</si>
  <si>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</si>
  <si>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</si>
  <si>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</si>
  <si>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</si>
  <si>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</si>
  <si>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</si>
  <si>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</si>
  <si>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</si>
  <si>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</si>
  <si>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</si>
  <si>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</si>
  <si>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</si>
  <si>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</si>
  <si>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</si>
  <si>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</si>
  <si>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</si>
  <si>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</si>
  <si>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</si>
  <si>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</si>
  <si>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</si>
  <si>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</si>
  <si>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</si>
  <si>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</si>
  <si>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</si>
  <si>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</si>
  <si>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 xml:space="preserve">TOTAL ORE FIZICE / TOTAL ORE ALOCATE STUDIULUI </t>
  </si>
  <si>
    <t xml:space="preserve">Anexă la Planul de Învățământ specializarea / programul de studiu: 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</si>
  <si>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</si>
  <si>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</si>
  <si>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</si>
  <si>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</si>
  <si>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</si>
  <si>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</si>
  <si>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</si>
  <si>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</si>
  <si>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</si>
  <si>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</si>
  <si>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</si>
  <si>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</si>
  <si>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</si>
  <si>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</si>
  <si>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</si>
  <si>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</si>
  <si>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</si>
  <si>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t>DISCIPLINE COMPLEMENTARE (DC)</t>
  </si>
  <si>
    <t>XND 1101</t>
  </si>
  <si>
    <t>XND 1102</t>
  </si>
  <si>
    <t>XND 1203</t>
  </si>
  <si>
    <t>XND 1204</t>
  </si>
  <si>
    <t>Examen de absolvire: Nivelul II</t>
  </si>
  <si>
    <t xml:space="preserve">TOTAL CREDITE / ORE PE SĂPTĂMÂNĂ / EVALUĂRI </t>
  </si>
  <si>
    <t xml:space="preserve">PROGRAM DE STUDII PSIHOPEDAGOGICE </t>
  </si>
  <si>
    <t>An I, Semestrul 1</t>
  </si>
  <si>
    <t>An I, Semestrul 2</t>
  </si>
  <si>
    <t>An II, Semestrul 3</t>
  </si>
  <si>
    <t>An II, Semestrul 4</t>
  </si>
  <si>
    <t>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absolvire)</t>
  </si>
  <si>
    <t>MODUL PEDAGOCIC - Nivelul II: 30 de credite ECTS  + 5 credite ECTS aferente examenului de absolvire</t>
  </si>
  <si>
    <t>Psihopedagogia adolescenţilor, tinerilor şi adulţilor</t>
  </si>
  <si>
    <t>Proiectarea şi managementul programelor educaţionale</t>
  </si>
  <si>
    <t>DP</t>
  </si>
  <si>
    <t>DO</t>
  </si>
  <si>
    <t xml:space="preserve">Practică pedagogică (în învăţământul liceal, postliceal şi universitar)
</t>
  </si>
  <si>
    <t>XND 2305</t>
  </si>
  <si>
    <t>XND 2306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</si>
  <si>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</si>
  <si>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</si>
  <si>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</si>
  <si>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t>Verificați standardele specifice domeniului dumneavoastră pentru a evita incongruențele.</t>
  </si>
  <si>
    <t>ÎN TOATE TABELELE DIN ACEASTĂ MACHETĂ, TREBUIE SĂ INTRODUCEȚI  DATE NUMAI ÎN CELULELE MARCATE CU GALBEN</t>
  </si>
  <si>
    <t>Tabelele/rândurile necompletate se șterg sau se ascund (dacă afectează formulele) HIDE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</si>
  <si>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iunie-iulie (1 săptămână)
Proba: Prezentarea şi susţinerea lucrării de disertație - 10 credite
</t>
    </r>
  </si>
  <si>
    <t>Didactica domeniului şi dezvoltăriI în didactica specialităţii (învăţământ liceal, postliceal, universitar)</t>
  </si>
  <si>
    <t>Disciplină opțională 1</t>
  </si>
  <si>
    <t>Disciplină opțională 2</t>
  </si>
  <si>
    <t>Titlul absolventului: MASTER</t>
  </si>
  <si>
    <t>DA</t>
  </si>
  <si>
    <t>DSIN</t>
  </si>
  <si>
    <t>DISCIPLINE DE SPECIALITATE  (DS)</t>
  </si>
  <si>
    <t>PLAN DE ÎNVĂŢĂMÂNT  valabil începând din anul universitar 2019-2020</t>
  </si>
  <si>
    <t>exemple</t>
  </si>
  <si>
    <t xml:space="preserve">acest tabel nu se modifica </t>
  </si>
  <si>
    <t>FACULTATEA DE STUDII EUROPENE</t>
  </si>
  <si>
    <t>Limba de predare: română</t>
  </si>
  <si>
    <t xml:space="preserve">Domeniul: Relații internaționale și studii europene </t>
  </si>
  <si>
    <r>
      <rPr>
        <b/>
        <sz val="10"/>
        <color indexed="8"/>
        <rFont val="Times New Roman"/>
        <family val="1"/>
      </rPr>
      <t xml:space="preserve">    115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</si>
  <si>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 5 de credite la disciplinele opţionale;</t>
    </r>
  </si>
  <si>
    <t>Se alege  o disciplină din pachetul: SMX0001</t>
  </si>
  <si>
    <t>Diploma de absolvire a studiilor masterale poate fi completată de un certificat de formare profesională ca manager de proiect.</t>
  </si>
  <si>
    <t>În contul a cel mult o disciplină opţională generală, studentul are dreptul să aleagă 1 disciplină de la alte specializări ale facultăţilor din Universitatea „Babeş-Bolyai”, respectând condiționările din planurile de învățământ ale respectivelor specializări.</t>
  </si>
  <si>
    <t>SMR0006</t>
  </si>
  <si>
    <t>UE în economia globală</t>
  </si>
  <si>
    <t>SMR0138</t>
  </si>
  <si>
    <t>Fundamentele juridice ale pieței unice</t>
  </si>
  <si>
    <t>SME0146</t>
  </si>
  <si>
    <t>Communication Techniques (Tehnici de comunicare)</t>
  </si>
  <si>
    <t>SMR0012</t>
  </si>
  <si>
    <t>Identificarea surselor de finanțare</t>
  </si>
  <si>
    <t>SME0147</t>
  </si>
  <si>
    <t>Project Cycle Management (Managementul ciclului de proiect)</t>
  </si>
  <si>
    <t>SMR0008</t>
  </si>
  <si>
    <t>Legislația programelor și proiectelor europene</t>
  </si>
  <si>
    <t>SMR0161</t>
  </si>
  <si>
    <t>Analiza economică a proiectelor și politicilor</t>
  </si>
  <si>
    <t>Practică</t>
  </si>
  <si>
    <t>SMR0133</t>
  </si>
  <si>
    <t>Monitorizare, evaluare, audit</t>
  </si>
  <si>
    <t>SMR0164</t>
  </si>
  <si>
    <t>Achiziţii publice şi private în implementarea proiectelor europene</t>
  </si>
  <si>
    <t>SMR0166</t>
  </si>
  <si>
    <t>Etică şi integritate academică</t>
  </si>
  <si>
    <t>SME0149</t>
  </si>
  <si>
    <t>Leadership and Networking in Central and Eastern Europe (Leadership și networking în Europa Central-Răsăriteană )</t>
  </si>
  <si>
    <t>SMX0001</t>
  </si>
  <si>
    <t>Curs opțional 1</t>
  </si>
  <si>
    <t>SMR0113</t>
  </si>
  <si>
    <t>Dezvoltare profesională și program aplicativ de training</t>
  </si>
  <si>
    <t>Modele de bune practici</t>
  </si>
  <si>
    <t xml:space="preserve">SME0151 </t>
  </si>
  <si>
    <t>Business Plans (Planuri de afaceri)</t>
  </si>
  <si>
    <t>SMR0018</t>
  </si>
  <si>
    <t>Modelarea Noii Europe</t>
  </si>
  <si>
    <t>Stagiu pentru elaborarea lucrării de disertaţie</t>
  </si>
  <si>
    <t xml:space="preserve"> </t>
  </si>
  <si>
    <t>Curs la alegere din curricula unui program de masterat oferit de UBB</t>
  </si>
  <si>
    <t>SMR0181</t>
  </si>
  <si>
    <t>SMR0184</t>
  </si>
  <si>
    <t>SMR0190</t>
  </si>
  <si>
    <t>CURS OPȚIONAL 3 (An II, Semestrul 3)- (SMX0001)</t>
  </si>
  <si>
    <t>Specializarea/Programul de studiu: Evaluarea dezvoltării regionale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</si>
  <si>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University of Vienna
University of Newcastle
Université Paris 1 Sorbonne. 
Universitaet Goettingen 
Karl-Frazens University Graz
University of Antwerpen                                                                                                EIPOS, Dresda
                                                                                                </t>
    </r>
  </si>
  <si>
    <t>Strategia dezvoltării durabile</t>
  </si>
  <si>
    <t>SMR0044</t>
  </si>
  <si>
    <t>Strategii internaționale de branding</t>
  </si>
  <si>
    <t>Regionalism și guvernanță multi-nivel în UE</t>
  </si>
  <si>
    <t>Teorii ale dezvoltării regionale</t>
  </si>
  <si>
    <t>Geoeconomics and Geoculture (Geoeconomie și geocultură)</t>
  </si>
  <si>
    <t>SME0117</t>
  </si>
  <si>
    <t>CURS OPȚIONAL 4 (An II, Semestrul 4)</t>
  </si>
  <si>
    <t>CURS OPȚIONAL 2 (An I, Semestrul 2)</t>
  </si>
  <si>
    <t>CURS OPȚIONAL 1 (An I, Semestrul 1)</t>
  </si>
  <si>
    <t>The management of EU cultural policies and projects (Managementul politicilor și proiectelor culturale)</t>
  </si>
  <si>
    <t>SMR0194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</si>
</sst>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-0;;@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charset val="238"/>
      <scheme val="minor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5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center" vertical="center"/>
    </xf>
    <xf numFmtId="1" fontId="2" fillId="5" borderId="1" xfId="0" applyNumberFormat="1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locked="0"/>
    </xf>
    <xf numFmtId="1" fontId="10" fillId="5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9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9" fontId="10" fillId="3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10" fontId="2" fillId="3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1" fontId="1" fillId="5" borderId="2" xfId="0" applyNumberFormat="1" applyFont="1" applyFill="1" applyBorder="1" applyAlignment="1" applyProtection="1">
      <alignment horizontal="left" vertical="center" wrapText="1"/>
      <protection locked="0"/>
    </xf>
    <xf numFmtId="1" fontId="1" fillId="5" borderId="5" xfId="0" applyNumberFormat="1" applyFont="1" applyFill="1" applyBorder="1" applyAlignment="1" applyProtection="1">
      <alignment horizontal="left" vertical="center" wrapText="1"/>
      <protection locked="0"/>
    </xf>
    <xf numFmtId="1" fontId="1" fillId="5" borderId="6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/>
    <xf numFmtId="0" fontId="9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" fontId="2" fillId="5" borderId="2" xfId="0" applyNumberFormat="1" applyFont="1" applyFill="1" applyBorder="1" applyAlignment="1" applyProtection="1">
      <alignment horizontal="center" vertical="center"/>
      <protection locked="0"/>
    </xf>
    <xf numFmtId="1" fontId="2" fillId="5" borderId="5" xfId="0" applyNumberFormat="1" applyFont="1" applyFill="1" applyBorder="1" applyAlignment="1" applyProtection="1">
      <alignment horizontal="center" vertical="center"/>
      <protection locked="0"/>
    </xf>
    <xf numFmtId="1" fontId="2" fillId="5" borderId="6" xfId="0" applyNumberFormat="1" applyFont="1" applyFill="1" applyBorder="1" applyAlignment="1" applyProtection="1">
      <alignment horizontal="center" vertical="center"/>
      <protection locked="0"/>
    </xf>
    <xf numFmtId="1" fontId="1" fillId="5" borderId="5" xfId="0" applyNumberFormat="1" applyFont="1" applyFill="1" applyBorder="1" applyAlignment="1" applyProtection="1">
      <alignment horizontal="left" vertical="center"/>
      <protection locked="0"/>
    </xf>
    <xf numFmtId="1" fontId="1" fillId="5" borderId="6" xfId="0" applyNumberFormat="1" applyFont="1" applyFill="1" applyBorder="1" applyAlignment="1" applyProtection="1">
      <alignment horizontal="left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5" borderId="6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left" vertical="center" wrapText="1"/>
    </xf>
    <xf numFmtId="0" fontId="2" fillId="5" borderId="11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8" xfId="0" applyFont="1" applyFill="1" applyBorder="1" applyAlignment="1" applyProtection="1">
      <alignment horizontal="left" vertical="center" wrapText="1"/>
    </xf>
    <xf numFmtId="2" fontId="1" fillId="5" borderId="9" xfId="0" applyNumberFormat="1" applyFont="1" applyFill="1" applyBorder="1" applyAlignment="1" applyProtection="1">
      <alignment horizontal="center" vertical="center"/>
    </xf>
    <xf numFmtId="2" fontId="1" fillId="5" borderId="4" xfId="0" applyNumberFormat="1" applyFont="1" applyFill="1" applyBorder="1" applyAlignment="1" applyProtection="1">
      <alignment horizontal="center" vertical="center"/>
    </xf>
    <xf numFmtId="2" fontId="1" fillId="5" borderId="10" xfId="0" applyNumberFormat="1" applyFont="1" applyFill="1" applyBorder="1" applyAlignment="1" applyProtection="1">
      <alignment horizontal="center" vertical="center"/>
    </xf>
    <xf numFmtId="2" fontId="1" fillId="5" borderId="11" xfId="0" applyNumberFormat="1" applyFont="1" applyFill="1" applyBorder="1" applyAlignment="1" applyProtection="1">
      <alignment horizontal="center" vertical="center"/>
    </xf>
    <xf numFmtId="2" fontId="1" fillId="5" borderId="7" xfId="0" applyNumberFormat="1" applyFont="1" applyFill="1" applyBorder="1" applyAlignment="1" applyProtection="1">
      <alignment horizontal="center" vertical="center"/>
    </xf>
    <xf numFmtId="2" fontId="1" fillId="5" borderId="8" xfId="0" applyNumberFormat="1" applyFont="1" applyFill="1" applyBorder="1" applyAlignment="1" applyProtection="1">
      <alignment horizontal="center" vertical="center"/>
    </xf>
    <xf numFmtId="1" fontId="2" fillId="5" borderId="2" xfId="0" applyNumberFormat="1" applyFont="1" applyFill="1" applyBorder="1" applyAlignment="1" applyProtection="1">
      <alignment horizontal="center" vertical="center"/>
    </xf>
    <xf numFmtId="1" fontId="2" fillId="5" borderId="5" xfId="0" applyNumberFormat="1" applyFont="1" applyFill="1" applyBorder="1" applyAlignment="1" applyProtection="1">
      <alignment horizontal="center" vertical="center"/>
    </xf>
    <xf numFmtId="1" fontId="2" fillId="5" borderId="6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8" fillId="0" borderId="2" xfId="0" applyNumberFormat="1" applyFont="1" applyBorder="1" applyAlignment="1" applyProtection="1">
      <alignment horizontal="center"/>
    </xf>
    <xf numFmtId="9" fontId="8" fillId="0" borderId="6" xfId="0" applyNumberFormat="1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/>
    </xf>
    <xf numFmtId="1" fontId="1" fillId="0" borderId="6" xfId="0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0" fontId="2" fillId="0" borderId="7" xfId="0" applyFont="1" applyBorder="1" applyProtection="1"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4" borderId="14" xfId="0" applyFont="1" applyFill="1" applyBorder="1" applyAlignment="1" applyProtection="1">
      <alignment wrapText="1"/>
    </xf>
    <xf numFmtId="0" fontId="1" fillId="4" borderId="0" xfId="0" applyFont="1" applyFill="1" applyBorder="1" applyAlignment="1" applyProtection="1">
      <alignment wrapText="1"/>
    </xf>
    <xf numFmtId="0" fontId="1" fillId="0" borderId="0" xfId="0" applyFont="1" applyAlignment="1" applyProtection="1">
      <alignment wrapText="1"/>
    </xf>
    <xf numFmtId="0" fontId="1" fillId="0" borderId="14" xfId="0" applyFont="1" applyBorder="1" applyProtection="1">
      <protection locked="0"/>
    </xf>
    <xf numFmtId="0" fontId="1" fillId="0" borderId="0" xfId="0" applyFont="1" applyProtection="1">
      <protection locked="0"/>
    </xf>
    <xf numFmtId="0" fontId="11" fillId="6" borderId="0" xfId="0" applyFont="1" applyFill="1" applyAlignment="1" applyProtection="1">
      <alignment vertical="center" wrapText="1"/>
      <protection locked="0"/>
    </xf>
    <xf numFmtId="0" fontId="12" fillId="6" borderId="0" xfId="0" applyFont="1" applyFill="1" applyAlignment="1">
      <alignment vertical="center" wrapText="1"/>
    </xf>
    <xf numFmtId="0" fontId="12" fillId="0" borderId="0" xfId="0" applyFont="1" applyAlignment="1"/>
    <xf numFmtId="0" fontId="2" fillId="7" borderId="0" xfId="0" applyFont="1" applyFill="1" applyAlignment="1" applyProtection="1">
      <alignment horizontal="left" vertical="top" wrapText="1"/>
      <protection locked="0"/>
    </xf>
    <xf numFmtId="0" fontId="11" fillId="7" borderId="0" xfId="0" applyFont="1" applyFill="1" applyAlignment="1" applyProtection="1">
      <alignment wrapText="1"/>
      <protection locked="0"/>
    </xf>
    <xf numFmtId="0" fontId="0" fillId="7" borderId="0" xfId="0" applyFill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 applyProtection="1">
      <protection locked="0"/>
    </xf>
    <xf numFmtId="0" fontId="0" fillId="0" borderId="0" xfId="0" applyAlignment="1"/>
    <xf numFmtId="0" fontId="7" fillId="0" borderId="9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1" fillId="0" borderId="1" xfId="0" applyFont="1" applyBorder="1" applyProtection="1">
      <protection locked="0"/>
    </xf>
    <xf numFmtId="9" fontId="7" fillId="0" borderId="2" xfId="0" applyNumberFormat="1" applyFont="1" applyBorder="1" applyAlignment="1" applyProtection="1">
      <alignment horizontal="center" vertical="center"/>
    </xf>
    <xf numFmtId="9" fontId="7" fillId="0" borderId="6" xfId="0" applyNumberFormat="1" applyFont="1" applyBorder="1" applyAlignment="1" applyProtection="1">
      <alignment horizontal="center" vertical="center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1" fontId="1" fillId="2" borderId="2" xfId="0" applyNumberFormat="1" applyFont="1" applyFill="1" applyBorder="1" applyAlignment="1" applyProtection="1">
      <alignment horizontal="justify" vertical="top" wrapText="1"/>
      <protection locked="0"/>
    </xf>
    <xf numFmtId="1" fontId="1" fillId="2" borderId="5" xfId="0" applyNumberFormat="1" applyFont="1" applyFill="1" applyBorder="1" applyAlignment="1" applyProtection="1">
      <alignment horizontal="justify" vertical="top" wrapText="1"/>
      <protection locked="0"/>
    </xf>
    <xf numFmtId="1" fontId="1" fillId="2" borderId="6" xfId="0" applyNumberFormat="1" applyFont="1" applyFill="1" applyBorder="1" applyAlignment="1" applyProtection="1">
      <alignment horizontal="justify" vertical="top" wrapText="1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4" fillId="2" borderId="2" xfId="0" applyFont="1" applyFill="1" applyBorder="1" applyAlignment="1" applyProtection="1">
      <alignment horizontal="left" vertical="center"/>
      <protection locked="0"/>
    </xf>
    <xf numFmtId="0" fontId="14" fillId="2" borderId="5" xfId="0" applyFont="1" applyFill="1" applyBorder="1" applyAlignment="1" applyProtection="1">
      <alignment horizontal="left" vertical="center"/>
      <protection locked="0"/>
    </xf>
    <xf numFmtId="0" fontId="14" fillId="2" borderId="6" xfId="0" applyFont="1" applyFill="1" applyBorder="1" applyAlignment="1" applyProtection="1">
      <alignment horizontal="left" vertical="center"/>
      <protection locked="0"/>
    </xf>
    <xf numFmtId="0" fontId="14" fillId="2" borderId="1" xfId="0" applyFont="1" applyFill="1" applyBorder="1" applyAlignment="1" applyProtection="1">
      <alignment horizontal="left" vertical="center"/>
      <protection locked="0"/>
    </xf>
    <xf numFmtId="0" fontId="14" fillId="2" borderId="2" xfId="0" applyFont="1" applyFill="1" applyBorder="1" applyAlignment="1" applyProtection="1">
      <alignment horizontal="left" vertical="center" wrapText="1"/>
      <protection locked="0"/>
    </xf>
    <xf numFmtId="0" fontId="14" fillId="3" borderId="5" xfId="0" applyFont="1" applyFill="1" applyBorder="1" applyAlignment="1" applyProtection="1">
      <alignment horizontal="left" vertical="center" wrapText="1"/>
      <protection locked="0"/>
    </xf>
    <xf numFmtId="0" fontId="14" fillId="3" borderId="6" xfId="0" applyFont="1" applyFill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24"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3"/>
  <sheetViews>
    <sheetView tabSelected="1" view="pageLayout" topLeftCell="A178" zoomScale="80" zoomScaleNormal="100" zoomScalePageLayoutView="80" workbookViewId="0">
      <selection activeCell="B132" sqref="B132:I132"/>
    </sheetView>
  </sheetViews>
  <sheetFormatPr defaultRowHeight="12.75" x14ac:dyDescent="0.2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140625" style="1" customWidth="1"/>
    <col min="8" max="8" width="8.28515625" style="1" customWidth="1"/>
    <col min="9" max="9" width="5.85546875" style="1" customWidth="1"/>
    <col min="10" max="10" width="7.28515625" style="1" customWidth="1"/>
    <col min="11" max="11" width="5.7109375" style="1" customWidth="1"/>
    <col min="12" max="12" width="6.140625" style="1" customWidth="1"/>
    <col min="13" max="13" width="5.5703125" style="1" customWidth="1"/>
    <col min="14" max="18" width="6" style="1" customWidth="1"/>
    <col min="19" max="19" width="6.140625" style="1" customWidth="1"/>
    <col min="20" max="20" width="9.28515625" style="1" customWidth="1"/>
    <col min="21" max="26" width="9.140625" style="1"/>
    <col min="27" max="27" width="11" style="1" customWidth="1"/>
    <col min="28" max="16384" width="9.140625" style="1"/>
  </cols>
  <sheetData>
    <row r="1" spans="1:28" ht="15.75" customHeight="1" x14ac:dyDescent="0.2">
      <c r="A1" s="178" t="s">
        <v>102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M1" s="184" t="s">
        <v>19</v>
      </c>
      <c r="N1" s="184"/>
      <c r="O1" s="184"/>
      <c r="P1" s="184"/>
      <c r="Q1" s="184"/>
      <c r="R1" s="184"/>
      <c r="S1" s="184"/>
      <c r="T1" s="184"/>
    </row>
    <row r="2" spans="1:28" ht="6.75" customHeight="1" x14ac:dyDescent="0.2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28" ht="39" customHeight="1" x14ac:dyDescent="0.2">
      <c r="A3" s="179" t="s">
        <v>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M3" s="190"/>
      <c r="N3" s="191"/>
      <c r="O3" s="194" t="s">
        <v>35</v>
      </c>
      <c r="P3" s="195"/>
      <c r="Q3" s="196"/>
      <c r="R3" s="194" t="s">
        <v>36</v>
      </c>
      <c r="S3" s="195"/>
      <c r="T3" s="196"/>
      <c r="U3" s="230" t="str">
        <f>IF(O4&gt;=12,"Corect","Trebuie alocate cel puțin 12 de ore pe săptămână")</f>
        <v>Corect</v>
      </c>
      <c r="V3" s="231"/>
      <c r="W3" s="231"/>
      <c r="X3" s="231"/>
    </row>
    <row r="4" spans="1:28" ht="17.25" customHeight="1" x14ac:dyDescent="0.2">
      <c r="A4" s="186" t="s">
        <v>105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M4" s="192" t="s">
        <v>14</v>
      </c>
      <c r="N4" s="193"/>
      <c r="O4" s="199">
        <v>14</v>
      </c>
      <c r="P4" s="200"/>
      <c r="Q4" s="201"/>
      <c r="R4" s="199">
        <v>16</v>
      </c>
      <c r="S4" s="200"/>
      <c r="T4" s="201"/>
      <c r="U4" s="230" t="str">
        <f>IF(R4&gt;=12,"Corect","Trebuie alocate cel puțin 12 de ore pe săptămână")</f>
        <v>Corect</v>
      </c>
      <c r="V4" s="231"/>
      <c r="W4" s="231"/>
      <c r="X4" s="231"/>
    </row>
    <row r="5" spans="1:28" ht="16.5" customHeight="1" x14ac:dyDescent="0.2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M5" s="192" t="s">
        <v>15</v>
      </c>
      <c r="N5" s="193"/>
      <c r="O5" s="199">
        <v>15</v>
      </c>
      <c r="P5" s="200"/>
      <c r="Q5" s="201"/>
      <c r="R5" s="199">
        <v>19</v>
      </c>
      <c r="S5" s="200"/>
      <c r="T5" s="201"/>
      <c r="U5" s="230" t="str">
        <f>IF(O5&gt;=12,"Corect","Trebuie alocate cel puțin 12 de ore pe săptămână")</f>
        <v>Corect</v>
      </c>
      <c r="V5" s="231"/>
      <c r="W5" s="231"/>
      <c r="X5" s="231"/>
    </row>
    <row r="6" spans="1:28" ht="15" customHeight="1" x14ac:dyDescent="0.2">
      <c r="A6" s="211" t="s">
        <v>107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M6" s="213"/>
      <c r="N6" s="213"/>
      <c r="O6" s="212"/>
      <c r="P6" s="212"/>
      <c r="Q6" s="212"/>
      <c r="R6" s="212"/>
      <c r="S6" s="212"/>
      <c r="T6" s="212"/>
      <c r="U6" s="230" t="str">
        <f>IF(R5&gt;=12,"Corect","Trebuie alocate cel puțin 12 de ore pe săptămână")</f>
        <v>Corect</v>
      </c>
      <c r="V6" s="231"/>
      <c r="W6" s="231"/>
      <c r="X6" s="231"/>
    </row>
    <row r="7" spans="1:28" ht="18" customHeight="1" x14ac:dyDescent="0.2">
      <c r="A7" s="214" t="s">
        <v>152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</row>
    <row r="8" spans="1:28" ht="18.75" customHeight="1" x14ac:dyDescent="0.2">
      <c r="A8" s="209" t="s">
        <v>106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M8" s="207" t="s">
        <v>94</v>
      </c>
      <c r="N8" s="207"/>
      <c r="O8" s="207"/>
      <c r="P8" s="207"/>
      <c r="Q8" s="207"/>
      <c r="R8" s="207"/>
      <c r="S8" s="207"/>
      <c r="T8" s="207"/>
    </row>
    <row r="9" spans="1:28" ht="15" customHeight="1" x14ac:dyDescent="0.2">
      <c r="A9" s="189" t="s">
        <v>98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M9" s="207"/>
      <c r="N9" s="207"/>
      <c r="O9" s="207"/>
      <c r="P9" s="207"/>
      <c r="Q9" s="207"/>
      <c r="R9" s="207"/>
      <c r="S9" s="207"/>
      <c r="T9" s="207"/>
      <c r="U9" s="235" t="s">
        <v>91</v>
      </c>
      <c r="V9" s="236"/>
      <c r="W9" s="236"/>
      <c r="X9" s="237"/>
      <c r="Y9" s="237"/>
      <c r="Z9" s="237"/>
      <c r="AA9" s="46"/>
    </row>
    <row r="10" spans="1:28" ht="16.5" customHeight="1" x14ac:dyDescent="0.2">
      <c r="A10" s="189" t="s">
        <v>60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M10" s="207"/>
      <c r="N10" s="207"/>
      <c r="O10" s="207"/>
      <c r="P10" s="207"/>
      <c r="Q10" s="207"/>
      <c r="R10" s="207"/>
      <c r="S10" s="207"/>
      <c r="T10" s="207"/>
      <c r="U10" s="236"/>
      <c r="V10" s="236"/>
      <c r="W10" s="236"/>
      <c r="X10" s="237"/>
      <c r="Y10" s="237"/>
      <c r="Z10" s="237"/>
      <c r="AA10" s="46"/>
    </row>
    <row r="11" spans="1:28" x14ac:dyDescent="0.2">
      <c r="A11" s="189" t="s">
        <v>17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M11" s="207"/>
      <c r="N11" s="207"/>
      <c r="O11" s="207"/>
      <c r="P11" s="207"/>
      <c r="Q11" s="207"/>
      <c r="R11" s="207"/>
      <c r="S11" s="207"/>
      <c r="T11" s="207"/>
      <c r="U11" s="236"/>
      <c r="V11" s="236"/>
      <c r="W11" s="236"/>
      <c r="X11" s="237"/>
      <c r="Y11" s="237"/>
      <c r="Z11" s="237"/>
      <c r="AA11" s="46"/>
    </row>
    <row r="12" spans="1:28" ht="10.5" customHeight="1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M12" s="2"/>
      <c r="N12" s="2"/>
      <c r="O12" s="2"/>
      <c r="P12" s="2"/>
      <c r="Q12" s="2"/>
      <c r="R12" s="2"/>
      <c r="U12" s="236"/>
      <c r="V12" s="236"/>
      <c r="W12" s="236"/>
      <c r="X12" s="237"/>
      <c r="Y12" s="237"/>
      <c r="Z12" s="237"/>
      <c r="AA12" s="46"/>
    </row>
    <row r="13" spans="1:28" x14ac:dyDescent="0.2">
      <c r="A13" s="210" t="s">
        <v>65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M13" s="221" t="s">
        <v>20</v>
      </c>
      <c r="N13" s="221"/>
      <c r="O13" s="221"/>
      <c r="P13" s="221"/>
      <c r="Q13" s="221"/>
      <c r="R13" s="221"/>
      <c r="S13" s="221"/>
      <c r="T13" s="221"/>
      <c r="U13" s="46"/>
      <c r="V13" s="46"/>
      <c r="W13" s="46"/>
      <c r="X13" s="46"/>
      <c r="Y13" s="46"/>
      <c r="Z13" s="46"/>
      <c r="AA13" s="46"/>
    </row>
    <row r="14" spans="1:28" ht="12.75" customHeight="1" x14ac:dyDescent="0.2">
      <c r="A14" s="210" t="s">
        <v>61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M14" s="185" t="s">
        <v>110</v>
      </c>
      <c r="N14" s="185"/>
      <c r="O14" s="185"/>
      <c r="P14" s="185"/>
      <c r="Q14" s="185"/>
      <c r="R14" s="185"/>
      <c r="S14" s="185"/>
      <c r="T14" s="185"/>
      <c r="U14" s="46"/>
      <c r="V14" s="46"/>
      <c r="W14" s="46"/>
      <c r="X14" s="46"/>
      <c r="Y14" s="46"/>
      <c r="Z14" s="46"/>
      <c r="AA14" s="46"/>
    </row>
    <row r="15" spans="1:28" ht="12.75" customHeight="1" x14ac:dyDescent="0.2">
      <c r="A15" s="209" t="s">
        <v>108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M15" s="185"/>
      <c r="N15" s="185"/>
      <c r="O15" s="185"/>
      <c r="P15" s="185"/>
      <c r="Q15" s="185"/>
      <c r="R15" s="185"/>
      <c r="S15" s="185"/>
      <c r="T15" s="185"/>
      <c r="U15" s="238" t="s">
        <v>92</v>
      </c>
      <c r="V15" s="238"/>
      <c r="W15" s="238"/>
      <c r="X15" s="238"/>
      <c r="Y15" s="238"/>
      <c r="Z15" s="238"/>
      <c r="AA15" s="46"/>
    </row>
    <row r="16" spans="1:28" ht="12.75" customHeight="1" x14ac:dyDescent="0.25">
      <c r="A16" s="209" t="s">
        <v>109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M16" s="183" t="s">
        <v>111</v>
      </c>
      <c r="N16" s="183"/>
      <c r="O16" s="183"/>
      <c r="P16" s="183"/>
      <c r="Q16" s="183"/>
      <c r="R16" s="183"/>
      <c r="S16" s="183"/>
      <c r="T16" s="183"/>
      <c r="U16" s="238"/>
      <c r="V16" s="238"/>
      <c r="W16" s="238"/>
      <c r="X16" s="238"/>
      <c r="Y16" s="238"/>
      <c r="Z16" s="238"/>
      <c r="AA16" s="242"/>
      <c r="AB16" s="243"/>
    </row>
    <row r="17" spans="1:27" ht="12.75" customHeight="1" x14ac:dyDescent="0.2">
      <c r="A17" s="189" t="s">
        <v>1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M17" s="183"/>
      <c r="N17" s="183"/>
      <c r="O17" s="183"/>
      <c r="P17" s="183"/>
      <c r="Q17" s="183"/>
      <c r="R17" s="183"/>
      <c r="S17" s="183"/>
      <c r="T17" s="183"/>
      <c r="U17" s="238"/>
      <c r="V17" s="238"/>
      <c r="W17" s="238"/>
      <c r="X17" s="238"/>
      <c r="Y17" s="238"/>
      <c r="Z17" s="238"/>
      <c r="AA17" s="46"/>
    </row>
    <row r="18" spans="1:27" ht="14.25" customHeight="1" x14ac:dyDescent="0.2">
      <c r="A18" s="189" t="s">
        <v>66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M18" s="183"/>
      <c r="N18" s="183"/>
      <c r="O18" s="183"/>
      <c r="P18" s="183"/>
      <c r="Q18" s="183"/>
      <c r="R18" s="183"/>
      <c r="S18" s="183"/>
      <c r="T18" s="183"/>
      <c r="U18" s="46"/>
      <c r="V18" s="46"/>
      <c r="W18" s="46"/>
      <c r="X18" s="46"/>
      <c r="Y18" s="46"/>
      <c r="Z18" s="46"/>
      <c r="AA18" s="46"/>
    </row>
    <row r="19" spans="1:27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M19" s="183"/>
      <c r="N19" s="183"/>
      <c r="O19" s="183"/>
      <c r="P19" s="183"/>
      <c r="Q19" s="183"/>
      <c r="R19" s="183"/>
      <c r="S19" s="183"/>
      <c r="T19" s="183"/>
      <c r="U19" s="46"/>
      <c r="V19" s="46"/>
      <c r="W19" s="46"/>
      <c r="X19" s="46"/>
      <c r="Y19" s="46"/>
      <c r="Z19" s="46"/>
      <c r="AA19" s="46"/>
    </row>
    <row r="20" spans="1:27" ht="7.5" customHeight="1" x14ac:dyDescent="0.2">
      <c r="A20" s="207" t="s">
        <v>79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M20" s="2"/>
      <c r="N20" s="2"/>
      <c r="O20" s="2"/>
      <c r="P20" s="2"/>
      <c r="Q20" s="2"/>
      <c r="R20" s="2"/>
      <c r="U20" s="239" t="s">
        <v>93</v>
      </c>
      <c r="V20" s="240"/>
      <c r="W20" s="240"/>
      <c r="X20" s="240"/>
      <c r="Y20" s="240"/>
      <c r="Z20" s="240"/>
      <c r="AA20" s="241"/>
    </row>
    <row r="21" spans="1:27" ht="15" customHeight="1" x14ac:dyDescent="0.2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M21" s="86" t="s">
        <v>112</v>
      </c>
      <c r="N21" s="86"/>
      <c r="O21" s="86"/>
      <c r="P21" s="86"/>
      <c r="Q21" s="86"/>
      <c r="R21" s="86"/>
      <c r="S21" s="86"/>
      <c r="T21" s="86"/>
      <c r="U21" s="241"/>
      <c r="V21" s="241"/>
      <c r="W21" s="241"/>
      <c r="X21" s="241"/>
      <c r="Y21" s="241"/>
      <c r="Z21" s="241"/>
      <c r="AA21" s="241"/>
    </row>
    <row r="22" spans="1:27" ht="15" customHeight="1" x14ac:dyDescent="0.2">
      <c r="A22" s="207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M22" s="86"/>
      <c r="N22" s="86"/>
      <c r="O22" s="86"/>
      <c r="P22" s="86"/>
      <c r="Q22" s="86"/>
      <c r="R22" s="86"/>
      <c r="S22" s="86"/>
      <c r="T22" s="86"/>
      <c r="U22" s="241"/>
      <c r="V22" s="241"/>
      <c r="W22" s="241"/>
      <c r="X22" s="241"/>
      <c r="Y22" s="241"/>
      <c r="Z22" s="241"/>
      <c r="AA22" s="241"/>
    </row>
    <row r="23" spans="1:27" ht="24" customHeight="1" x14ac:dyDescent="0.2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M23" s="86"/>
      <c r="N23" s="86"/>
      <c r="O23" s="86"/>
      <c r="P23" s="86"/>
      <c r="Q23" s="86"/>
      <c r="R23" s="86"/>
      <c r="S23" s="86"/>
      <c r="T23" s="86"/>
      <c r="U23" s="241"/>
      <c r="V23" s="241"/>
      <c r="W23" s="241"/>
      <c r="X23" s="241"/>
      <c r="Y23" s="241"/>
      <c r="Z23" s="241"/>
      <c r="AA23" s="241"/>
    </row>
    <row r="24" spans="1:27" ht="13.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M24" s="3"/>
      <c r="N24" s="3"/>
      <c r="O24" s="3"/>
      <c r="P24" s="3"/>
      <c r="Q24" s="3"/>
      <c r="R24" s="3"/>
    </row>
    <row r="25" spans="1:27" x14ac:dyDescent="0.2">
      <c r="A25" s="163" t="s">
        <v>16</v>
      </c>
      <c r="B25" s="163"/>
      <c r="C25" s="163"/>
      <c r="D25" s="163"/>
      <c r="E25" s="163"/>
      <c r="F25" s="163"/>
      <c r="G25" s="163"/>
      <c r="M25" s="206" t="s">
        <v>153</v>
      </c>
      <c r="N25" s="206"/>
      <c r="O25" s="206"/>
      <c r="P25" s="206"/>
      <c r="Q25" s="206"/>
      <c r="R25" s="206"/>
      <c r="S25" s="206"/>
      <c r="T25" s="206"/>
    </row>
    <row r="26" spans="1:27" ht="26.25" customHeight="1" x14ac:dyDescent="0.2">
      <c r="A26" s="4"/>
      <c r="B26" s="194" t="s">
        <v>2</v>
      </c>
      <c r="C26" s="196"/>
      <c r="D26" s="194" t="s">
        <v>3</v>
      </c>
      <c r="E26" s="195"/>
      <c r="F26" s="196"/>
      <c r="G26" s="208" t="s">
        <v>18</v>
      </c>
      <c r="H26" s="208" t="s">
        <v>10</v>
      </c>
      <c r="I26" s="194" t="s">
        <v>4</v>
      </c>
      <c r="J26" s="195"/>
      <c r="K26" s="196"/>
      <c r="M26" s="206"/>
      <c r="N26" s="206"/>
      <c r="O26" s="206"/>
      <c r="P26" s="206"/>
      <c r="Q26" s="206"/>
      <c r="R26" s="206"/>
      <c r="S26" s="206"/>
      <c r="T26" s="206"/>
    </row>
    <row r="27" spans="1:27" ht="14.25" customHeight="1" x14ac:dyDescent="0.2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203"/>
      <c r="H27" s="203"/>
      <c r="I27" s="5" t="s">
        <v>11</v>
      </c>
      <c r="J27" s="5" t="s">
        <v>12</v>
      </c>
      <c r="K27" s="5" t="s">
        <v>13</v>
      </c>
      <c r="M27" s="206"/>
      <c r="N27" s="206"/>
      <c r="O27" s="206"/>
      <c r="P27" s="206"/>
      <c r="Q27" s="206"/>
      <c r="R27" s="206"/>
      <c r="S27" s="206"/>
      <c r="T27" s="206"/>
    </row>
    <row r="28" spans="1:27" ht="17.25" customHeight="1" x14ac:dyDescent="0.2">
      <c r="A28" s="6" t="s">
        <v>14</v>
      </c>
      <c r="B28" s="7">
        <v>14</v>
      </c>
      <c r="C28" s="7">
        <v>14</v>
      </c>
      <c r="D28" s="61">
        <v>3</v>
      </c>
      <c r="E28" s="61">
        <v>3</v>
      </c>
      <c r="F28" s="61">
        <v>2</v>
      </c>
      <c r="G28" s="20"/>
      <c r="H28" s="74">
        <v>1</v>
      </c>
      <c r="I28" s="61">
        <v>3</v>
      </c>
      <c r="J28" s="61">
        <v>1</v>
      </c>
      <c r="K28" s="61">
        <v>11</v>
      </c>
      <c r="M28" s="206"/>
      <c r="N28" s="206"/>
      <c r="O28" s="206"/>
      <c r="P28" s="206"/>
      <c r="Q28" s="206"/>
      <c r="R28" s="206"/>
      <c r="S28" s="206"/>
      <c r="T28" s="206"/>
      <c r="U28" s="232" t="str">
        <f t="shared" ref="U28" si="0">IF(SUM(B28:K28)=52,"Corect","Suma trebuie să fie 52")</f>
        <v>Corect</v>
      </c>
      <c r="V28" s="232"/>
    </row>
    <row r="29" spans="1:27" ht="15" customHeight="1" x14ac:dyDescent="0.2">
      <c r="A29" s="6" t="s">
        <v>15</v>
      </c>
      <c r="B29" s="7">
        <v>14</v>
      </c>
      <c r="C29" s="7">
        <v>12</v>
      </c>
      <c r="D29" s="61">
        <v>3</v>
      </c>
      <c r="E29" s="61">
        <v>2</v>
      </c>
      <c r="F29" s="61">
        <v>2</v>
      </c>
      <c r="G29" s="20"/>
      <c r="H29" s="20">
        <v>2</v>
      </c>
      <c r="I29" s="61">
        <v>3</v>
      </c>
      <c r="J29" s="61">
        <v>1</v>
      </c>
      <c r="K29" s="61">
        <v>13</v>
      </c>
      <c r="M29" s="206"/>
      <c r="N29" s="206"/>
      <c r="O29" s="206"/>
      <c r="P29" s="206"/>
      <c r="Q29" s="206"/>
      <c r="R29" s="206"/>
      <c r="S29" s="206"/>
      <c r="T29" s="206"/>
      <c r="U29" s="232" t="str">
        <f t="shared" ref="U29" si="1">IF(SUM(B29:K29)=52,"Corect","Suma trebuie să fie 52")</f>
        <v>Corect</v>
      </c>
      <c r="V29" s="232"/>
    </row>
    <row r="30" spans="1:27" ht="15.75" customHeight="1" x14ac:dyDescent="0.2">
      <c r="A30" s="31"/>
      <c r="B30" s="29"/>
      <c r="C30" s="29"/>
      <c r="D30" s="29"/>
      <c r="E30" s="29"/>
      <c r="F30" s="29"/>
      <c r="G30" s="29"/>
      <c r="H30" s="29"/>
      <c r="I30" s="29"/>
      <c r="J30" s="29"/>
      <c r="K30" s="32"/>
      <c r="M30" s="206"/>
      <c r="N30" s="206"/>
      <c r="O30" s="206"/>
      <c r="P30" s="206"/>
      <c r="Q30" s="206"/>
      <c r="R30" s="206"/>
      <c r="S30" s="206"/>
      <c r="T30" s="206"/>
    </row>
    <row r="31" spans="1:27" ht="21" customHeight="1" x14ac:dyDescent="0.2">
      <c r="A31" s="30"/>
      <c r="B31" s="30"/>
      <c r="C31" s="30"/>
      <c r="D31" s="30"/>
      <c r="E31" s="30"/>
      <c r="F31" s="30"/>
      <c r="G31" s="30"/>
      <c r="M31" s="206"/>
      <c r="N31" s="206"/>
      <c r="O31" s="206"/>
      <c r="P31" s="206"/>
      <c r="Q31" s="206"/>
      <c r="R31" s="206"/>
      <c r="S31" s="206"/>
      <c r="T31" s="206"/>
    </row>
    <row r="32" spans="1:27" ht="20.25" customHeight="1" x14ac:dyDescent="0.2">
      <c r="A32" s="187" t="s">
        <v>21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</row>
    <row r="33" spans="1:23" ht="20.25" hidden="1" customHeight="1" x14ac:dyDescent="0.2">
      <c r="N33" s="9"/>
      <c r="O33" s="10" t="s">
        <v>37</v>
      </c>
      <c r="P33" s="10" t="s">
        <v>38</v>
      </c>
      <c r="Q33" s="10" t="s">
        <v>39</v>
      </c>
      <c r="R33" s="10" t="s">
        <v>99</v>
      </c>
      <c r="S33" s="10" t="s">
        <v>100</v>
      </c>
      <c r="T33" s="10"/>
    </row>
    <row r="34" spans="1:23" ht="20.25" customHeight="1" x14ac:dyDescent="0.2">
      <c r="A34" s="113" t="s">
        <v>42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</row>
    <row r="35" spans="1:23" ht="27.75" customHeight="1" x14ac:dyDescent="0.2">
      <c r="A35" s="204" t="s">
        <v>27</v>
      </c>
      <c r="B35" s="215" t="s">
        <v>26</v>
      </c>
      <c r="C35" s="216"/>
      <c r="D35" s="216"/>
      <c r="E35" s="216"/>
      <c r="F35" s="216"/>
      <c r="G35" s="216"/>
      <c r="H35" s="216"/>
      <c r="I35" s="217"/>
      <c r="J35" s="208" t="s">
        <v>40</v>
      </c>
      <c r="K35" s="180" t="s">
        <v>24</v>
      </c>
      <c r="L35" s="181"/>
      <c r="M35" s="182"/>
      <c r="N35" s="180" t="s">
        <v>41</v>
      </c>
      <c r="O35" s="197"/>
      <c r="P35" s="198"/>
      <c r="Q35" s="180" t="s">
        <v>23</v>
      </c>
      <c r="R35" s="181"/>
      <c r="S35" s="182"/>
      <c r="T35" s="202" t="s">
        <v>22</v>
      </c>
    </row>
    <row r="36" spans="1:23" ht="20.25" customHeight="1" x14ac:dyDescent="0.2">
      <c r="A36" s="205"/>
      <c r="B36" s="218"/>
      <c r="C36" s="219"/>
      <c r="D36" s="219"/>
      <c r="E36" s="219"/>
      <c r="F36" s="219"/>
      <c r="G36" s="219"/>
      <c r="H36" s="219"/>
      <c r="I36" s="220"/>
      <c r="J36" s="203"/>
      <c r="K36" s="5" t="s">
        <v>28</v>
      </c>
      <c r="L36" s="5" t="s">
        <v>29</v>
      </c>
      <c r="M36" s="5" t="s">
        <v>30</v>
      </c>
      <c r="N36" s="5" t="s">
        <v>34</v>
      </c>
      <c r="O36" s="5" t="s">
        <v>7</v>
      </c>
      <c r="P36" s="5" t="s">
        <v>31</v>
      </c>
      <c r="Q36" s="5" t="s">
        <v>32</v>
      </c>
      <c r="R36" s="5" t="s">
        <v>28</v>
      </c>
      <c r="S36" s="5" t="s">
        <v>33</v>
      </c>
      <c r="T36" s="203"/>
    </row>
    <row r="37" spans="1:23" ht="15.75" customHeight="1" x14ac:dyDescent="0.2">
      <c r="A37" s="51" t="s">
        <v>113</v>
      </c>
      <c r="B37" s="173" t="s">
        <v>114</v>
      </c>
      <c r="C37" s="222"/>
      <c r="D37" s="222"/>
      <c r="E37" s="222"/>
      <c r="F37" s="222"/>
      <c r="G37" s="222"/>
      <c r="H37" s="222"/>
      <c r="I37" s="223"/>
      <c r="J37" s="12">
        <v>6</v>
      </c>
      <c r="K37" s="12">
        <v>2</v>
      </c>
      <c r="L37" s="12">
        <v>1</v>
      </c>
      <c r="M37" s="12">
        <v>0</v>
      </c>
      <c r="N37" s="52">
        <f>K37+L37+M37</f>
        <v>3</v>
      </c>
      <c r="O37" s="14">
        <f>P37-N37</f>
        <v>8</v>
      </c>
      <c r="P37" s="14">
        <f>ROUND(PRODUCT(J37,25)/14,0)</f>
        <v>11</v>
      </c>
      <c r="Q37" s="62" t="s">
        <v>32</v>
      </c>
      <c r="R37" s="12"/>
      <c r="S37" s="61"/>
      <c r="T37" s="12" t="s">
        <v>37</v>
      </c>
    </row>
    <row r="38" spans="1:23" ht="13.5" customHeight="1" x14ac:dyDescent="0.2">
      <c r="A38" s="270" t="s">
        <v>155</v>
      </c>
      <c r="B38" s="267" t="s">
        <v>154</v>
      </c>
      <c r="C38" s="268"/>
      <c r="D38" s="268"/>
      <c r="E38" s="268"/>
      <c r="F38" s="268"/>
      <c r="G38" s="268"/>
      <c r="H38" s="268"/>
      <c r="I38" s="269"/>
      <c r="J38" s="12">
        <v>6</v>
      </c>
      <c r="K38" s="12">
        <v>1</v>
      </c>
      <c r="L38" s="12">
        <v>1</v>
      </c>
      <c r="M38" s="12">
        <v>0</v>
      </c>
      <c r="N38" s="52">
        <f>K38+L38+M38</f>
        <v>2</v>
      </c>
      <c r="O38" s="14">
        <f>P38-N38</f>
        <v>9</v>
      </c>
      <c r="P38" s="14">
        <f>ROUND(PRODUCT(J38,25)/14,0)</f>
        <v>11</v>
      </c>
      <c r="Q38" s="62" t="s">
        <v>32</v>
      </c>
      <c r="R38" s="12"/>
      <c r="S38" s="61"/>
      <c r="T38" s="12" t="s">
        <v>37</v>
      </c>
    </row>
    <row r="39" spans="1:23" ht="14.25" customHeight="1" x14ac:dyDescent="0.2">
      <c r="A39" s="51" t="s">
        <v>115</v>
      </c>
      <c r="B39" s="173" t="s">
        <v>116</v>
      </c>
      <c r="C39" s="222"/>
      <c r="D39" s="222"/>
      <c r="E39" s="222"/>
      <c r="F39" s="222"/>
      <c r="G39" s="222"/>
      <c r="H39" s="222"/>
      <c r="I39" s="223"/>
      <c r="J39" s="12">
        <v>6</v>
      </c>
      <c r="K39" s="12">
        <v>2</v>
      </c>
      <c r="L39" s="12">
        <v>1</v>
      </c>
      <c r="M39" s="12">
        <v>0</v>
      </c>
      <c r="N39" s="52">
        <f>K39+L39+M39</f>
        <v>3</v>
      </c>
      <c r="O39" s="14">
        <f>P39-N39</f>
        <v>8</v>
      </c>
      <c r="P39" s="14">
        <f>ROUND(PRODUCT(J39,25)/14,0)</f>
        <v>11</v>
      </c>
      <c r="Q39" s="62" t="s">
        <v>32</v>
      </c>
      <c r="R39" s="12"/>
      <c r="S39" s="61"/>
      <c r="T39" s="12" t="s">
        <v>38</v>
      </c>
    </row>
    <row r="40" spans="1:23" ht="15.75" customHeight="1" x14ac:dyDescent="0.2">
      <c r="A40" s="51" t="s">
        <v>117</v>
      </c>
      <c r="B40" s="173" t="s">
        <v>118</v>
      </c>
      <c r="C40" s="222"/>
      <c r="D40" s="222"/>
      <c r="E40" s="222"/>
      <c r="F40" s="222"/>
      <c r="G40" s="222"/>
      <c r="H40" s="222"/>
      <c r="I40" s="223"/>
      <c r="J40" s="12">
        <v>6</v>
      </c>
      <c r="K40" s="12">
        <v>1</v>
      </c>
      <c r="L40" s="12">
        <v>2</v>
      </c>
      <c r="M40" s="12">
        <v>0</v>
      </c>
      <c r="N40" s="52">
        <f>K40+L40+M40</f>
        <v>3</v>
      </c>
      <c r="O40" s="14">
        <f>P40-N40</f>
        <v>8</v>
      </c>
      <c r="P40" s="14">
        <f>ROUND(PRODUCT(J40,25)/14,0)</f>
        <v>11</v>
      </c>
      <c r="Q40" s="62" t="s">
        <v>32</v>
      </c>
      <c r="R40" s="12"/>
      <c r="S40" s="61"/>
      <c r="T40" s="12" t="s">
        <v>39</v>
      </c>
    </row>
    <row r="41" spans="1:23" ht="14.25" customHeight="1" x14ac:dyDescent="0.2">
      <c r="A41" s="274" t="s">
        <v>165</v>
      </c>
      <c r="B41" s="271" t="s">
        <v>156</v>
      </c>
      <c r="C41" s="272"/>
      <c r="D41" s="272"/>
      <c r="E41" s="272"/>
      <c r="F41" s="272"/>
      <c r="G41" s="272"/>
      <c r="H41" s="272"/>
      <c r="I41" s="273"/>
      <c r="J41" s="12">
        <v>6</v>
      </c>
      <c r="K41" s="12">
        <v>2</v>
      </c>
      <c r="L41" s="12">
        <v>1</v>
      </c>
      <c r="M41" s="12">
        <v>0</v>
      </c>
      <c r="N41" s="52">
        <f>K41+L41+M41</f>
        <v>3</v>
      </c>
      <c r="O41" s="14">
        <f>P41-N41</f>
        <v>8</v>
      </c>
      <c r="P41" s="14">
        <f>ROUND(PRODUCT(J41,25)/14,0)</f>
        <v>11</v>
      </c>
      <c r="Q41" s="62" t="s">
        <v>32</v>
      </c>
      <c r="R41" s="12"/>
      <c r="S41" s="61"/>
      <c r="T41" s="12" t="s">
        <v>37</v>
      </c>
    </row>
    <row r="42" spans="1:23" x14ac:dyDescent="0.2">
      <c r="A42" s="16" t="s">
        <v>25</v>
      </c>
      <c r="B42" s="138"/>
      <c r="C42" s="166"/>
      <c r="D42" s="166"/>
      <c r="E42" s="166"/>
      <c r="F42" s="166"/>
      <c r="G42" s="166"/>
      <c r="H42" s="166"/>
      <c r="I42" s="139"/>
      <c r="J42" s="16">
        <f t="shared" ref="J42:P42" si="2">SUM(J37:J41)</f>
        <v>30</v>
      </c>
      <c r="K42" s="16">
        <f t="shared" si="2"/>
        <v>8</v>
      </c>
      <c r="L42" s="16">
        <f t="shared" si="2"/>
        <v>6</v>
      </c>
      <c r="M42" s="16">
        <f t="shared" si="2"/>
        <v>0</v>
      </c>
      <c r="N42" s="16">
        <f t="shared" si="2"/>
        <v>14</v>
      </c>
      <c r="O42" s="16">
        <f t="shared" si="2"/>
        <v>41</v>
      </c>
      <c r="P42" s="16">
        <f t="shared" si="2"/>
        <v>55</v>
      </c>
      <c r="Q42" s="16">
        <f>COUNTIF(Q37:Q41,"E")</f>
        <v>5</v>
      </c>
      <c r="R42" s="16">
        <f>COUNTIF(R37:R41,"C")</f>
        <v>0</v>
      </c>
      <c r="S42" s="16">
        <f>COUNTIF(S37:S41,"VP")</f>
        <v>0</v>
      </c>
      <c r="T42" s="47">
        <f>COUNTA(T37:T41)</f>
        <v>5</v>
      </c>
      <c r="U42" s="233" t="str">
        <f>IF(Q42&gt;=SUM(R42:S42),"Corect","E trebuie să fie cel puțin egal cu C+VP")</f>
        <v>Corect</v>
      </c>
      <c r="V42" s="234"/>
      <c r="W42" s="234"/>
    </row>
    <row r="43" spans="1:23" ht="19.5" customHeight="1" x14ac:dyDescent="0.2"/>
    <row r="44" spans="1:23" ht="16.5" customHeight="1" x14ac:dyDescent="0.2">
      <c r="A44" s="113" t="s">
        <v>43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3" ht="26.25" customHeight="1" x14ac:dyDescent="0.2">
      <c r="A45" s="204" t="s">
        <v>27</v>
      </c>
      <c r="B45" s="215" t="s">
        <v>26</v>
      </c>
      <c r="C45" s="216"/>
      <c r="D45" s="216"/>
      <c r="E45" s="216"/>
      <c r="F45" s="216"/>
      <c r="G45" s="216"/>
      <c r="H45" s="216"/>
      <c r="I45" s="217"/>
      <c r="J45" s="208" t="s">
        <v>40</v>
      </c>
      <c r="K45" s="180" t="s">
        <v>24</v>
      </c>
      <c r="L45" s="181"/>
      <c r="M45" s="182"/>
      <c r="N45" s="180" t="s">
        <v>41</v>
      </c>
      <c r="O45" s="197"/>
      <c r="P45" s="198"/>
      <c r="Q45" s="180" t="s">
        <v>23</v>
      </c>
      <c r="R45" s="181"/>
      <c r="S45" s="182"/>
      <c r="T45" s="202" t="s">
        <v>22</v>
      </c>
    </row>
    <row r="46" spans="1:23" ht="12.75" customHeight="1" x14ac:dyDescent="0.2">
      <c r="A46" s="205"/>
      <c r="B46" s="218"/>
      <c r="C46" s="219"/>
      <c r="D46" s="219"/>
      <c r="E46" s="219"/>
      <c r="F46" s="219"/>
      <c r="G46" s="219"/>
      <c r="H46" s="219"/>
      <c r="I46" s="220"/>
      <c r="J46" s="203"/>
      <c r="K46" s="5" t="s">
        <v>28</v>
      </c>
      <c r="L46" s="5" t="s">
        <v>29</v>
      </c>
      <c r="M46" s="5" t="s">
        <v>30</v>
      </c>
      <c r="N46" s="5" t="s">
        <v>34</v>
      </c>
      <c r="O46" s="5" t="s">
        <v>7</v>
      </c>
      <c r="P46" s="5" t="s">
        <v>31</v>
      </c>
      <c r="Q46" s="5" t="s">
        <v>32</v>
      </c>
      <c r="R46" s="5" t="s">
        <v>28</v>
      </c>
      <c r="S46" s="5" t="s">
        <v>33</v>
      </c>
      <c r="T46" s="203"/>
    </row>
    <row r="47" spans="1:23" x14ac:dyDescent="0.2">
      <c r="A47" s="51" t="s">
        <v>119</v>
      </c>
      <c r="B47" s="173" t="s">
        <v>120</v>
      </c>
      <c r="C47" s="222"/>
      <c r="D47" s="222"/>
      <c r="E47" s="222"/>
      <c r="F47" s="222"/>
      <c r="G47" s="222"/>
      <c r="H47" s="222"/>
      <c r="I47" s="223"/>
      <c r="J47" s="12">
        <v>5</v>
      </c>
      <c r="K47" s="12">
        <v>2</v>
      </c>
      <c r="L47" s="12">
        <v>1</v>
      </c>
      <c r="M47" s="12">
        <v>0</v>
      </c>
      <c r="N47" s="52">
        <f t="shared" ref="N47:N52" si="3">K47+L47+M47</f>
        <v>3</v>
      </c>
      <c r="O47" s="14">
        <f t="shared" ref="O47:O52" si="4">P47-N47</f>
        <v>6</v>
      </c>
      <c r="P47" s="14">
        <f t="shared" ref="P47:P52" si="5">ROUND(PRODUCT(J47,25)/14,0)</f>
        <v>9</v>
      </c>
      <c r="Q47" s="62" t="s">
        <v>32</v>
      </c>
      <c r="R47" s="12"/>
      <c r="S47" s="61"/>
      <c r="T47" s="12" t="s">
        <v>38</v>
      </c>
    </row>
    <row r="48" spans="1:23" x14ac:dyDescent="0.2">
      <c r="A48" s="51"/>
      <c r="B48" s="173" t="s">
        <v>158</v>
      </c>
      <c r="C48" s="222"/>
      <c r="D48" s="222"/>
      <c r="E48" s="222"/>
      <c r="F48" s="222"/>
      <c r="G48" s="222"/>
      <c r="H48" s="222"/>
      <c r="I48" s="223"/>
      <c r="J48" s="12">
        <v>5</v>
      </c>
      <c r="K48" s="12">
        <v>1</v>
      </c>
      <c r="L48" s="12">
        <v>1</v>
      </c>
      <c r="M48" s="12">
        <v>0</v>
      </c>
      <c r="N48" s="52">
        <f t="shared" si="3"/>
        <v>2</v>
      </c>
      <c r="O48" s="14">
        <f t="shared" si="4"/>
        <v>7</v>
      </c>
      <c r="P48" s="14">
        <f t="shared" si="5"/>
        <v>9</v>
      </c>
      <c r="Q48" s="62" t="s">
        <v>32</v>
      </c>
      <c r="R48" s="12"/>
      <c r="S48" s="61"/>
      <c r="T48" s="12" t="s">
        <v>38</v>
      </c>
    </row>
    <row r="49" spans="1:23" x14ac:dyDescent="0.2">
      <c r="A49" s="51" t="s">
        <v>121</v>
      </c>
      <c r="B49" s="173" t="s">
        <v>122</v>
      </c>
      <c r="C49" s="222"/>
      <c r="D49" s="222"/>
      <c r="E49" s="222"/>
      <c r="F49" s="222"/>
      <c r="G49" s="222"/>
      <c r="H49" s="222"/>
      <c r="I49" s="223"/>
      <c r="J49" s="12">
        <v>5</v>
      </c>
      <c r="K49" s="12">
        <v>2</v>
      </c>
      <c r="L49" s="12">
        <v>1</v>
      </c>
      <c r="M49" s="12">
        <v>0</v>
      </c>
      <c r="N49" s="52">
        <f t="shared" si="3"/>
        <v>3</v>
      </c>
      <c r="O49" s="14">
        <f t="shared" si="4"/>
        <v>6</v>
      </c>
      <c r="P49" s="14">
        <f t="shared" si="5"/>
        <v>9</v>
      </c>
      <c r="Q49" s="62" t="s">
        <v>32</v>
      </c>
      <c r="R49" s="12"/>
      <c r="S49" s="61"/>
      <c r="T49" s="12" t="s">
        <v>37</v>
      </c>
    </row>
    <row r="50" spans="1:23" x14ac:dyDescent="0.2">
      <c r="A50" s="51" t="s">
        <v>123</v>
      </c>
      <c r="B50" s="173" t="s">
        <v>124</v>
      </c>
      <c r="C50" s="222"/>
      <c r="D50" s="222"/>
      <c r="E50" s="222"/>
      <c r="F50" s="222"/>
      <c r="G50" s="222"/>
      <c r="H50" s="222"/>
      <c r="I50" s="223"/>
      <c r="J50" s="12">
        <v>5</v>
      </c>
      <c r="K50" s="12">
        <v>1</v>
      </c>
      <c r="L50" s="12">
        <v>1</v>
      </c>
      <c r="M50" s="12">
        <v>0</v>
      </c>
      <c r="N50" s="52">
        <f t="shared" si="3"/>
        <v>2</v>
      </c>
      <c r="O50" s="14">
        <f t="shared" si="4"/>
        <v>7</v>
      </c>
      <c r="P50" s="14">
        <f t="shared" si="5"/>
        <v>9</v>
      </c>
      <c r="Q50" s="62" t="s">
        <v>32</v>
      </c>
      <c r="R50" s="12"/>
      <c r="S50" s="61"/>
      <c r="T50" s="12" t="s">
        <v>38</v>
      </c>
    </row>
    <row r="51" spans="1:23" s="51" customFormat="1" x14ac:dyDescent="0.25">
      <c r="A51" s="270" t="s">
        <v>160</v>
      </c>
      <c r="B51" s="227" t="s">
        <v>159</v>
      </c>
      <c r="C51" s="228"/>
      <c r="D51" s="228"/>
      <c r="E51" s="228"/>
      <c r="F51" s="228"/>
      <c r="G51" s="228"/>
      <c r="H51" s="228"/>
      <c r="I51" s="229"/>
      <c r="J51" s="12">
        <v>5</v>
      </c>
      <c r="K51" s="12">
        <v>1</v>
      </c>
      <c r="L51" s="12">
        <v>1</v>
      </c>
      <c r="M51" s="12">
        <v>0</v>
      </c>
      <c r="N51" s="15">
        <f t="shared" si="3"/>
        <v>2</v>
      </c>
      <c r="O51" s="15">
        <f t="shared" si="4"/>
        <v>7</v>
      </c>
      <c r="P51" s="15">
        <f t="shared" si="5"/>
        <v>9</v>
      </c>
      <c r="Q51" s="12" t="s">
        <v>32</v>
      </c>
      <c r="T51" s="12" t="s">
        <v>37</v>
      </c>
    </row>
    <row r="52" spans="1:23" s="50" customFormat="1" x14ac:dyDescent="0.2">
      <c r="A52" s="51" t="s">
        <v>149</v>
      </c>
      <c r="B52" s="53" t="s">
        <v>127</v>
      </c>
      <c r="C52" s="54"/>
      <c r="D52" s="54"/>
      <c r="E52" s="54"/>
      <c r="F52" s="54"/>
      <c r="G52" s="54"/>
      <c r="H52" s="54"/>
      <c r="I52" s="55"/>
      <c r="J52" s="12">
        <v>5</v>
      </c>
      <c r="K52" s="12">
        <v>0</v>
      </c>
      <c r="L52" s="12">
        <v>0</v>
      </c>
      <c r="M52" s="12">
        <v>4</v>
      </c>
      <c r="N52" s="52">
        <f t="shared" si="3"/>
        <v>4</v>
      </c>
      <c r="O52" s="14">
        <f t="shared" si="4"/>
        <v>5</v>
      </c>
      <c r="P52" s="14">
        <f t="shared" si="5"/>
        <v>9</v>
      </c>
      <c r="Q52" s="62"/>
      <c r="R52" s="12" t="s">
        <v>28</v>
      </c>
      <c r="S52" s="61"/>
      <c r="T52" s="12" t="s">
        <v>38</v>
      </c>
    </row>
    <row r="53" spans="1:23" x14ac:dyDescent="0.2">
      <c r="A53" s="16" t="s">
        <v>25</v>
      </c>
      <c r="B53" s="138"/>
      <c r="C53" s="166"/>
      <c r="D53" s="166"/>
      <c r="E53" s="166"/>
      <c r="F53" s="166"/>
      <c r="G53" s="166"/>
      <c r="H53" s="166"/>
      <c r="I53" s="139"/>
      <c r="J53" s="16">
        <f t="shared" ref="J53:P53" si="6">SUM(J47:J52)</f>
        <v>30</v>
      </c>
      <c r="K53" s="16">
        <f t="shared" si="6"/>
        <v>7</v>
      </c>
      <c r="L53" s="16">
        <f t="shared" si="6"/>
        <v>5</v>
      </c>
      <c r="M53" s="16">
        <f t="shared" si="6"/>
        <v>4</v>
      </c>
      <c r="N53" s="16">
        <f t="shared" si="6"/>
        <v>16</v>
      </c>
      <c r="O53" s="16">
        <f t="shared" si="6"/>
        <v>38</v>
      </c>
      <c r="P53" s="16">
        <f t="shared" si="6"/>
        <v>54</v>
      </c>
      <c r="Q53" s="16">
        <f ca="1">COUNTIF(Q47:Q73,"E")</f>
        <v>5</v>
      </c>
      <c r="R53" s="16">
        <v>1</v>
      </c>
      <c r="S53" s="16">
        <f ca="1">COUNTIF(S47:S73,"VP")</f>
        <v>0</v>
      </c>
      <c r="T53" s="47">
        <v>6</v>
      </c>
      <c r="U53" s="233" t="str">
        <f ca="1">IF(Q53&gt;=SUM(R53:S53),"Corect","E trebuie să fie cel puțin egal cu C+VP")</f>
        <v>Corect</v>
      </c>
      <c r="V53" s="234"/>
      <c r="W53" s="234"/>
    </row>
    <row r="54" spans="1:23" ht="11.25" customHeight="1" x14ac:dyDescent="0.2"/>
    <row r="55" spans="1:23" ht="18" customHeight="1" x14ac:dyDescent="0.2">
      <c r="A55" s="113" t="s">
        <v>44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</row>
    <row r="56" spans="1:23" ht="25.5" customHeight="1" x14ac:dyDescent="0.2">
      <c r="A56" s="204" t="s">
        <v>27</v>
      </c>
      <c r="B56" s="215" t="s">
        <v>26</v>
      </c>
      <c r="C56" s="216"/>
      <c r="D56" s="216"/>
      <c r="E56" s="216"/>
      <c r="F56" s="216"/>
      <c r="G56" s="216"/>
      <c r="H56" s="216"/>
      <c r="I56" s="217"/>
      <c r="J56" s="208" t="s">
        <v>40</v>
      </c>
      <c r="K56" s="180" t="s">
        <v>24</v>
      </c>
      <c r="L56" s="181"/>
      <c r="M56" s="182"/>
      <c r="N56" s="180" t="s">
        <v>41</v>
      </c>
      <c r="O56" s="197"/>
      <c r="P56" s="198"/>
      <c r="Q56" s="180" t="s">
        <v>23</v>
      </c>
      <c r="R56" s="181"/>
      <c r="S56" s="182"/>
      <c r="T56" s="202" t="s">
        <v>22</v>
      </c>
    </row>
    <row r="57" spans="1:23" ht="16.5" customHeight="1" x14ac:dyDescent="0.2">
      <c r="A57" s="205"/>
      <c r="B57" s="218"/>
      <c r="C57" s="219"/>
      <c r="D57" s="219"/>
      <c r="E57" s="219"/>
      <c r="F57" s="219"/>
      <c r="G57" s="219"/>
      <c r="H57" s="219"/>
      <c r="I57" s="220"/>
      <c r="J57" s="203"/>
      <c r="K57" s="5" t="s">
        <v>28</v>
      </c>
      <c r="L57" s="5" t="s">
        <v>29</v>
      </c>
      <c r="M57" s="5" t="s">
        <v>30</v>
      </c>
      <c r="N57" s="5" t="s">
        <v>34</v>
      </c>
      <c r="O57" s="5" t="s">
        <v>7</v>
      </c>
      <c r="P57" s="5" t="s">
        <v>31</v>
      </c>
      <c r="Q57" s="5" t="s">
        <v>32</v>
      </c>
      <c r="R57" s="5" t="s">
        <v>28</v>
      </c>
      <c r="S57" s="5" t="s">
        <v>33</v>
      </c>
      <c r="T57" s="203"/>
    </row>
    <row r="58" spans="1:23" x14ac:dyDescent="0.2">
      <c r="A58" s="51" t="s">
        <v>128</v>
      </c>
      <c r="B58" s="173" t="s">
        <v>129</v>
      </c>
      <c r="C58" s="222"/>
      <c r="D58" s="222"/>
      <c r="E58" s="222"/>
      <c r="F58" s="222"/>
      <c r="G58" s="222"/>
      <c r="H58" s="222"/>
      <c r="I58" s="223"/>
      <c r="J58" s="12">
        <v>5</v>
      </c>
      <c r="K58" s="12">
        <v>2</v>
      </c>
      <c r="L58" s="12">
        <v>1</v>
      </c>
      <c r="M58" s="12">
        <v>0</v>
      </c>
      <c r="N58" s="52">
        <f t="shared" ref="N58:N63" si="7">K58+L58+M58</f>
        <v>3</v>
      </c>
      <c r="O58" s="14">
        <f>P58-N58</f>
        <v>6</v>
      </c>
      <c r="P58" s="14">
        <f>ROUND(PRODUCT(J58,25)/14,0)</f>
        <v>9</v>
      </c>
      <c r="Q58" s="62" t="s">
        <v>32</v>
      </c>
      <c r="R58" s="12"/>
      <c r="S58" s="61"/>
      <c r="T58" s="12" t="s">
        <v>38</v>
      </c>
    </row>
    <row r="59" spans="1:23" x14ac:dyDescent="0.2">
      <c r="A59" s="51" t="s">
        <v>130</v>
      </c>
      <c r="B59" s="173" t="s">
        <v>131</v>
      </c>
      <c r="C59" s="222"/>
      <c r="D59" s="222"/>
      <c r="E59" s="222"/>
      <c r="F59" s="222"/>
      <c r="G59" s="222"/>
      <c r="H59" s="222"/>
      <c r="I59" s="223"/>
      <c r="J59" s="12">
        <v>5</v>
      </c>
      <c r="K59" s="12">
        <v>1</v>
      </c>
      <c r="L59" s="12">
        <v>1</v>
      </c>
      <c r="M59" s="12">
        <v>0</v>
      </c>
      <c r="N59" s="52">
        <f t="shared" si="7"/>
        <v>2</v>
      </c>
      <c r="O59" s="14">
        <f>P59-N59</f>
        <v>7</v>
      </c>
      <c r="P59" s="14">
        <f>ROUND(PRODUCT(J59,25)/14,0)</f>
        <v>9</v>
      </c>
      <c r="Q59" s="62" t="s">
        <v>32</v>
      </c>
      <c r="R59" s="12"/>
      <c r="S59" s="61"/>
      <c r="T59" s="12" t="s">
        <v>38</v>
      </c>
    </row>
    <row r="60" spans="1:23" x14ac:dyDescent="0.2">
      <c r="A60" s="51"/>
      <c r="B60" s="173" t="s">
        <v>157</v>
      </c>
      <c r="C60" s="222"/>
      <c r="D60" s="222"/>
      <c r="E60" s="222"/>
      <c r="F60" s="222"/>
      <c r="G60" s="222"/>
      <c r="H60" s="222"/>
      <c r="I60" s="223"/>
      <c r="J60" s="12">
        <v>5</v>
      </c>
      <c r="K60" s="12">
        <v>1</v>
      </c>
      <c r="L60" s="12">
        <v>1</v>
      </c>
      <c r="M60" s="12">
        <v>0</v>
      </c>
      <c r="N60" s="52">
        <f t="shared" si="7"/>
        <v>2</v>
      </c>
      <c r="O60" s="14">
        <f>P60-N60</f>
        <v>7</v>
      </c>
      <c r="P60" s="14">
        <f>ROUND(PRODUCT(J60,25)/14,0)</f>
        <v>9</v>
      </c>
      <c r="Q60" s="62" t="s">
        <v>32</v>
      </c>
      <c r="R60" s="12"/>
      <c r="S60" s="61"/>
      <c r="T60" s="12" t="s">
        <v>38</v>
      </c>
    </row>
    <row r="61" spans="1:23" x14ac:dyDescent="0.2">
      <c r="A61" s="51" t="s">
        <v>132</v>
      </c>
      <c r="B61" s="53" t="s">
        <v>133</v>
      </c>
      <c r="C61" s="54"/>
      <c r="D61" s="54"/>
      <c r="E61" s="54"/>
      <c r="F61" s="54"/>
      <c r="G61" s="54"/>
      <c r="H61" s="54"/>
      <c r="I61" s="55"/>
      <c r="J61" s="12">
        <v>5</v>
      </c>
      <c r="K61" s="12">
        <v>1</v>
      </c>
      <c r="L61" s="12">
        <v>1</v>
      </c>
      <c r="M61" s="12">
        <v>0</v>
      </c>
      <c r="N61" s="70">
        <f t="shared" si="7"/>
        <v>2</v>
      </c>
      <c r="O61" s="14">
        <v>5</v>
      </c>
      <c r="P61" s="14">
        <v>7</v>
      </c>
      <c r="Q61" s="62" t="s">
        <v>32</v>
      </c>
      <c r="R61" s="12"/>
      <c r="S61" s="61"/>
      <c r="T61" s="12" t="s">
        <v>39</v>
      </c>
    </row>
    <row r="62" spans="1:23" ht="31.5" customHeight="1" x14ac:dyDescent="0.2">
      <c r="A62" s="72" t="s">
        <v>134</v>
      </c>
      <c r="B62" s="227" t="s">
        <v>135</v>
      </c>
      <c r="C62" s="228"/>
      <c r="D62" s="228"/>
      <c r="E62" s="228"/>
      <c r="F62" s="228"/>
      <c r="G62" s="228"/>
      <c r="H62" s="228"/>
      <c r="I62" s="229"/>
      <c r="J62" s="12">
        <v>5</v>
      </c>
      <c r="K62" s="12">
        <v>2</v>
      </c>
      <c r="L62" s="12">
        <v>1</v>
      </c>
      <c r="M62" s="12">
        <v>0</v>
      </c>
      <c r="N62" s="52">
        <f t="shared" si="7"/>
        <v>3</v>
      </c>
      <c r="O62" s="14">
        <f>P62-N62</f>
        <v>6</v>
      </c>
      <c r="P62" s="14">
        <f>ROUND(PRODUCT(J62,25)/14,0)</f>
        <v>9</v>
      </c>
      <c r="Q62" s="62" t="s">
        <v>32</v>
      </c>
      <c r="R62" s="12"/>
      <c r="S62" s="61"/>
      <c r="T62" s="12" t="s">
        <v>38</v>
      </c>
    </row>
    <row r="63" spans="1:23" x14ac:dyDescent="0.2">
      <c r="A63" s="51" t="s">
        <v>136</v>
      </c>
      <c r="B63" s="173" t="s">
        <v>137</v>
      </c>
      <c r="C63" s="222"/>
      <c r="D63" s="222"/>
      <c r="E63" s="222"/>
      <c r="F63" s="222"/>
      <c r="G63" s="222"/>
      <c r="H63" s="222"/>
      <c r="I63" s="223"/>
      <c r="J63" s="12">
        <v>5</v>
      </c>
      <c r="K63" s="12">
        <v>2</v>
      </c>
      <c r="L63" s="12">
        <v>1</v>
      </c>
      <c r="M63" s="12">
        <v>0</v>
      </c>
      <c r="N63" s="52">
        <f t="shared" si="7"/>
        <v>3</v>
      </c>
      <c r="O63" s="14">
        <f>P63-N63</f>
        <v>6</v>
      </c>
      <c r="P63" s="14">
        <f>ROUND(PRODUCT(J63,25)/14,0)</f>
        <v>9</v>
      </c>
      <c r="Q63" s="62" t="s">
        <v>32</v>
      </c>
      <c r="R63" s="12"/>
      <c r="S63" s="61"/>
      <c r="T63" s="12" t="s">
        <v>38</v>
      </c>
    </row>
    <row r="64" spans="1:23" x14ac:dyDescent="0.2">
      <c r="A64" s="16" t="s">
        <v>25</v>
      </c>
      <c r="B64" s="138"/>
      <c r="C64" s="166"/>
      <c r="D64" s="166"/>
      <c r="E64" s="166"/>
      <c r="F64" s="166"/>
      <c r="G64" s="166"/>
      <c r="H64" s="166"/>
      <c r="I64" s="139"/>
      <c r="J64" s="16">
        <f t="shared" ref="J64:P64" si="8">SUM(J58:J63)</f>
        <v>30</v>
      </c>
      <c r="K64" s="16">
        <f t="shared" si="8"/>
        <v>9</v>
      </c>
      <c r="L64" s="16">
        <f t="shared" si="8"/>
        <v>6</v>
      </c>
      <c r="M64" s="16">
        <f t="shared" si="8"/>
        <v>0</v>
      </c>
      <c r="N64" s="16">
        <f t="shared" si="8"/>
        <v>15</v>
      </c>
      <c r="O64" s="16">
        <f t="shared" si="8"/>
        <v>37</v>
      </c>
      <c r="P64" s="16">
        <f t="shared" si="8"/>
        <v>52</v>
      </c>
      <c r="Q64" s="16">
        <f>COUNTIF(Q58:Q63,"E")</f>
        <v>6</v>
      </c>
      <c r="R64" s="16">
        <f>COUNTIF(R58:R63,"C")</f>
        <v>0</v>
      </c>
      <c r="S64" s="16">
        <f>COUNTIF(S58:S63,"VP")</f>
        <v>0</v>
      </c>
      <c r="T64" s="47">
        <f>COUNTA(T58:T63)</f>
        <v>6</v>
      </c>
      <c r="U64" s="233" t="str">
        <f>IF(Q64&gt;=SUM(R64:S64),"Corect","E trebuie să fie cel puțin egal cu C+VP")</f>
        <v>Corect</v>
      </c>
      <c r="V64" s="234"/>
      <c r="W64" s="234"/>
    </row>
    <row r="65" spans="1:23" ht="21.75" customHeight="1" x14ac:dyDescent="0.2"/>
    <row r="66" spans="1:23" ht="18.75" customHeight="1" x14ac:dyDescent="0.2">
      <c r="A66" s="113" t="s">
        <v>45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</row>
    <row r="67" spans="1:23" ht="24.75" customHeight="1" x14ac:dyDescent="0.2">
      <c r="A67" s="204" t="s">
        <v>27</v>
      </c>
      <c r="B67" s="215" t="s">
        <v>26</v>
      </c>
      <c r="C67" s="216"/>
      <c r="D67" s="216"/>
      <c r="E67" s="216"/>
      <c r="F67" s="216"/>
      <c r="G67" s="216"/>
      <c r="H67" s="216"/>
      <c r="I67" s="217"/>
      <c r="J67" s="208" t="s">
        <v>40</v>
      </c>
      <c r="K67" s="180" t="s">
        <v>24</v>
      </c>
      <c r="L67" s="181"/>
      <c r="M67" s="182"/>
      <c r="N67" s="180" t="s">
        <v>41</v>
      </c>
      <c r="O67" s="197"/>
      <c r="P67" s="198"/>
      <c r="Q67" s="180" t="s">
        <v>23</v>
      </c>
      <c r="R67" s="181"/>
      <c r="S67" s="182"/>
      <c r="T67" s="202" t="s">
        <v>22</v>
      </c>
    </row>
    <row r="68" spans="1:23" x14ac:dyDescent="0.2">
      <c r="A68" s="205"/>
      <c r="B68" s="218"/>
      <c r="C68" s="219"/>
      <c r="D68" s="219"/>
      <c r="E68" s="219"/>
      <c r="F68" s="219"/>
      <c r="G68" s="219"/>
      <c r="H68" s="219"/>
      <c r="I68" s="220"/>
      <c r="J68" s="203"/>
      <c r="K68" s="5" t="s">
        <v>28</v>
      </c>
      <c r="L68" s="5" t="s">
        <v>29</v>
      </c>
      <c r="M68" s="5" t="s">
        <v>30</v>
      </c>
      <c r="N68" s="5" t="s">
        <v>34</v>
      </c>
      <c r="O68" s="5" t="s">
        <v>7</v>
      </c>
      <c r="P68" s="5" t="s">
        <v>31</v>
      </c>
      <c r="Q68" s="5" t="s">
        <v>32</v>
      </c>
      <c r="R68" s="5" t="s">
        <v>28</v>
      </c>
      <c r="S68" s="5" t="s">
        <v>33</v>
      </c>
      <c r="T68" s="203"/>
    </row>
    <row r="69" spans="1:23" x14ac:dyDescent="0.2">
      <c r="A69" s="51" t="s">
        <v>138</v>
      </c>
      <c r="B69" s="173" t="s">
        <v>139</v>
      </c>
      <c r="C69" s="222"/>
      <c r="D69" s="222"/>
      <c r="E69" s="222"/>
      <c r="F69" s="222"/>
      <c r="G69" s="222"/>
      <c r="H69" s="222"/>
      <c r="I69" s="223"/>
      <c r="J69" s="12">
        <v>5</v>
      </c>
      <c r="K69" s="12">
        <v>0</v>
      </c>
      <c r="L69" s="12">
        <v>0</v>
      </c>
      <c r="M69" s="12">
        <v>5</v>
      </c>
      <c r="N69" s="52">
        <f>K69+L69+M69</f>
        <v>5</v>
      </c>
      <c r="O69" s="14">
        <f>P69-N69</f>
        <v>5</v>
      </c>
      <c r="P69" s="14">
        <f>ROUND(PRODUCT(J69,25)/12,0)</f>
        <v>10</v>
      </c>
      <c r="Q69" s="62"/>
      <c r="R69" s="12" t="s">
        <v>28</v>
      </c>
      <c r="S69" s="61"/>
      <c r="T69" s="12" t="s">
        <v>38</v>
      </c>
    </row>
    <row r="70" spans="1:23" x14ac:dyDescent="0.2">
      <c r="A70" s="51" t="s">
        <v>150</v>
      </c>
      <c r="B70" s="173" t="s">
        <v>140</v>
      </c>
      <c r="C70" s="222"/>
      <c r="D70" s="222"/>
      <c r="E70" s="222"/>
      <c r="F70" s="222"/>
      <c r="G70" s="222"/>
      <c r="H70" s="222"/>
      <c r="I70" s="223"/>
      <c r="J70" s="12">
        <v>5</v>
      </c>
      <c r="K70" s="12">
        <v>2</v>
      </c>
      <c r="L70" s="12">
        <v>1</v>
      </c>
      <c r="M70" s="12">
        <v>0</v>
      </c>
      <c r="N70" s="52">
        <f>K70+L70+M70</f>
        <v>3</v>
      </c>
      <c r="O70" s="14">
        <f>P70-N70</f>
        <v>7</v>
      </c>
      <c r="P70" s="14">
        <f>ROUND(PRODUCT(J70,25)/12,0)</f>
        <v>10</v>
      </c>
      <c r="Q70" s="62"/>
      <c r="R70" s="12" t="s">
        <v>28</v>
      </c>
      <c r="S70" s="61"/>
      <c r="T70" s="12" t="s">
        <v>38</v>
      </c>
    </row>
    <row r="71" spans="1:23" x14ac:dyDescent="0.2">
      <c r="A71" s="51" t="s">
        <v>141</v>
      </c>
      <c r="B71" s="173" t="s">
        <v>142</v>
      </c>
      <c r="C71" s="222"/>
      <c r="D71" s="222"/>
      <c r="E71" s="222"/>
      <c r="F71" s="222"/>
      <c r="G71" s="222"/>
      <c r="H71" s="222"/>
      <c r="I71" s="223"/>
      <c r="J71" s="12">
        <v>4</v>
      </c>
      <c r="K71" s="12">
        <v>1</v>
      </c>
      <c r="L71" s="12">
        <v>2</v>
      </c>
      <c r="M71" s="12">
        <v>0</v>
      </c>
      <c r="N71" s="52">
        <f>K71+L71+M71</f>
        <v>3</v>
      </c>
      <c r="O71" s="14">
        <f>P71-N71</f>
        <v>5</v>
      </c>
      <c r="P71" s="14">
        <f>ROUND(PRODUCT(J71,25)/12,0)</f>
        <v>8</v>
      </c>
      <c r="Q71" s="62" t="s">
        <v>32</v>
      </c>
      <c r="R71" s="12"/>
      <c r="S71" s="61"/>
      <c r="T71" s="12" t="s">
        <v>38</v>
      </c>
    </row>
    <row r="72" spans="1:23" x14ac:dyDescent="0.2">
      <c r="A72" s="51" t="s">
        <v>143</v>
      </c>
      <c r="B72" s="173" t="s">
        <v>144</v>
      </c>
      <c r="C72" s="222"/>
      <c r="D72" s="222"/>
      <c r="E72" s="222"/>
      <c r="F72" s="222"/>
      <c r="G72" s="222"/>
      <c r="H72" s="222"/>
      <c r="I72" s="223"/>
      <c r="J72" s="12">
        <v>6</v>
      </c>
      <c r="K72" s="12">
        <v>2</v>
      </c>
      <c r="L72" s="12">
        <v>1</v>
      </c>
      <c r="M72" s="12">
        <v>0</v>
      </c>
      <c r="N72" s="52">
        <f>K72+L72+M72</f>
        <v>3</v>
      </c>
      <c r="O72" s="14">
        <f>P72-N72</f>
        <v>10</v>
      </c>
      <c r="P72" s="14">
        <f>ROUND(PRODUCT(J72,25)/12,0)</f>
        <v>13</v>
      </c>
      <c r="Q72" s="62" t="s">
        <v>32</v>
      </c>
      <c r="R72" s="12"/>
      <c r="S72" s="61"/>
      <c r="T72" s="12" t="s">
        <v>39</v>
      </c>
    </row>
    <row r="73" spans="1:23" x14ac:dyDescent="0.2">
      <c r="A73" s="51" t="s">
        <v>125</v>
      </c>
      <c r="B73" s="173" t="s">
        <v>126</v>
      </c>
      <c r="C73" s="222"/>
      <c r="D73" s="222"/>
      <c r="E73" s="222"/>
      <c r="F73" s="222"/>
      <c r="G73" s="222"/>
      <c r="H73" s="222"/>
      <c r="I73" s="223"/>
      <c r="J73" s="12">
        <v>6</v>
      </c>
      <c r="K73" s="12">
        <v>2</v>
      </c>
      <c r="L73" s="12">
        <v>1</v>
      </c>
      <c r="M73" s="12">
        <v>0</v>
      </c>
      <c r="N73" s="52">
        <f>K73+L73+M73</f>
        <v>3</v>
      </c>
      <c r="O73" s="14">
        <f>P73-N73</f>
        <v>8</v>
      </c>
      <c r="P73" s="14">
        <f>ROUND(PRODUCT(J73,25)/14,0)</f>
        <v>11</v>
      </c>
      <c r="Q73" s="62" t="s">
        <v>32</v>
      </c>
      <c r="R73" s="12"/>
      <c r="S73" s="61"/>
      <c r="T73" s="12" t="s">
        <v>38</v>
      </c>
    </row>
    <row r="74" spans="1:23" x14ac:dyDescent="0.2">
      <c r="A74" s="25" t="s">
        <v>148</v>
      </c>
      <c r="B74" s="224" t="s">
        <v>145</v>
      </c>
      <c r="C74" s="225"/>
      <c r="D74" s="225"/>
      <c r="E74" s="225"/>
      <c r="F74" s="225"/>
      <c r="G74" s="225"/>
      <c r="H74" s="225"/>
      <c r="I74" s="226"/>
      <c r="J74" s="11">
        <v>4</v>
      </c>
      <c r="K74" s="11">
        <v>0</v>
      </c>
      <c r="L74" s="11">
        <v>0</v>
      </c>
      <c r="M74" s="11">
        <v>2</v>
      </c>
      <c r="N74" s="13">
        <f t="shared" ref="N74" si="9">K74+L74+M74</f>
        <v>2</v>
      </c>
      <c r="O74" s="14">
        <f t="shared" ref="O74" si="10">P74-N74</f>
        <v>6</v>
      </c>
      <c r="P74" s="14">
        <f t="shared" ref="P74" si="11">ROUND(PRODUCT(J74,25)/12,0)</f>
        <v>8</v>
      </c>
      <c r="Q74" s="19"/>
      <c r="R74" s="11"/>
      <c r="S74" s="20" t="s">
        <v>33</v>
      </c>
      <c r="T74" s="11" t="s">
        <v>38</v>
      </c>
    </row>
    <row r="75" spans="1:23" x14ac:dyDescent="0.2">
      <c r="A75" s="16" t="s">
        <v>25</v>
      </c>
      <c r="B75" s="138"/>
      <c r="C75" s="166"/>
      <c r="D75" s="166"/>
      <c r="E75" s="166"/>
      <c r="F75" s="166"/>
      <c r="G75" s="166"/>
      <c r="H75" s="166"/>
      <c r="I75" s="139"/>
      <c r="J75" s="16">
        <f t="shared" ref="J75:P75" si="12">SUM(J69:J74)</f>
        <v>30</v>
      </c>
      <c r="K75" s="16">
        <f t="shared" si="12"/>
        <v>7</v>
      </c>
      <c r="L75" s="16">
        <f t="shared" si="12"/>
        <v>5</v>
      </c>
      <c r="M75" s="16">
        <f t="shared" si="12"/>
        <v>7</v>
      </c>
      <c r="N75" s="16">
        <f t="shared" si="12"/>
        <v>19</v>
      </c>
      <c r="O75" s="16">
        <f t="shared" si="12"/>
        <v>41</v>
      </c>
      <c r="P75" s="16">
        <f t="shared" si="12"/>
        <v>60</v>
      </c>
      <c r="Q75" s="16">
        <f>COUNTIF(Q69:Q74,"E")</f>
        <v>3</v>
      </c>
      <c r="R75" s="16">
        <f>COUNTIF(R69:R74,"C")</f>
        <v>2</v>
      </c>
      <c r="S75" s="16">
        <f>COUNTIF(S69:S74,"VP")</f>
        <v>1</v>
      </c>
      <c r="T75" s="47">
        <f>COUNTA(T69:T74)</f>
        <v>6</v>
      </c>
      <c r="U75" s="233" t="str">
        <f>IF(Q75&gt;=SUM(R75:S75),"Corect","E trebuie să fie cel puțin egal cu C+VP")</f>
        <v>Corect</v>
      </c>
      <c r="V75" s="234"/>
      <c r="W75" s="234"/>
    </row>
    <row r="76" spans="1:23" ht="9" customHeight="1" x14ac:dyDescent="0.2"/>
    <row r="77" spans="1:23" x14ac:dyDescent="0.2">
      <c r="B77" s="2"/>
      <c r="C77" s="2"/>
      <c r="D77" s="2"/>
      <c r="E77" s="2"/>
      <c r="F77" s="2"/>
      <c r="G77" s="2"/>
      <c r="L77" s="1" t="s">
        <v>146</v>
      </c>
      <c r="M77" s="8"/>
      <c r="N77" s="8"/>
      <c r="O77" s="8"/>
      <c r="P77" s="8"/>
      <c r="Q77" s="8"/>
      <c r="R77" s="8"/>
      <c r="S77" s="8"/>
    </row>
    <row r="78" spans="1:23" x14ac:dyDescent="0.2">
      <c r="J78" s="1" t="s">
        <v>146</v>
      </c>
    </row>
    <row r="79" spans="1:23" ht="19.5" customHeight="1" x14ac:dyDescent="0.2">
      <c r="A79" s="188" t="s">
        <v>46</v>
      </c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</row>
    <row r="80" spans="1:23" ht="27.75" customHeight="1" x14ac:dyDescent="0.2">
      <c r="A80" s="204" t="s">
        <v>27</v>
      </c>
      <c r="B80" s="215" t="s">
        <v>26</v>
      </c>
      <c r="C80" s="216"/>
      <c r="D80" s="216"/>
      <c r="E80" s="216"/>
      <c r="F80" s="216"/>
      <c r="G80" s="216"/>
      <c r="H80" s="216"/>
      <c r="I80" s="217"/>
      <c r="J80" s="208" t="s">
        <v>40</v>
      </c>
      <c r="K80" s="176" t="s">
        <v>24</v>
      </c>
      <c r="L80" s="176"/>
      <c r="M80" s="176"/>
      <c r="N80" s="176" t="s">
        <v>41</v>
      </c>
      <c r="O80" s="250"/>
      <c r="P80" s="250"/>
      <c r="Q80" s="176" t="s">
        <v>23</v>
      </c>
      <c r="R80" s="176"/>
      <c r="S80" s="176"/>
      <c r="T80" s="176" t="s">
        <v>22</v>
      </c>
    </row>
    <row r="81" spans="1:20" ht="12.75" customHeight="1" x14ac:dyDescent="0.2">
      <c r="A81" s="205"/>
      <c r="B81" s="218"/>
      <c r="C81" s="219"/>
      <c r="D81" s="219"/>
      <c r="E81" s="219"/>
      <c r="F81" s="219"/>
      <c r="G81" s="219"/>
      <c r="H81" s="219"/>
      <c r="I81" s="220"/>
      <c r="J81" s="203"/>
      <c r="K81" s="5" t="s">
        <v>28</v>
      </c>
      <c r="L81" s="5" t="s">
        <v>29</v>
      </c>
      <c r="M81" s="5" t="s">
        <v>30</v>
      </c>
      <c r="N81" s="5" t="s">
        <v>34</v>
      </c>
      <c r="O81" s="5" t="s">
        <v>7</v>
      </c>
      <c r="P81" s="5" t="s">
        <v>31</v>
      </c>
      <c r="Q81" s="5" t="s">
        <v>32</v>
      </c>
      <c r="R81" s="5" t="s">
        <v>28</v>
      </c>
      <c r="S81" s="5" t="s">
        <v>33</v>
      </c>
      <c r="T81" s="176"/>
    </row>
    <row r="82" spans="1:20" x14ac:dyDescent="0.2">
      <c r="A82" s="261" t="s">
        <v>163</v>
      </c>
      <c r="B82" s="262"/>
      <c r="C82" s="262"/>
      <c r="D82" s="262"/>
      <c r="E82" s="262"/>
      <c r="F82" s="262"/>
      <c r="G82" s="262"/>
      <c r="H82" s="262"/>
      <c r="I82" s="262"/>
      <c r="J82" s="262"/>
      <c r="K82" s="262"/>
      <c r="L82" s="262"/>
      <c r="M82" s="262"/>
      <c r="N82" s="262"/>
      <c r="O82" s="262"/>
      <c r="P82" s="262"/>
      <c r="Q82" s="262"/>
      <c r="R82" s="262"/>
      <c r="S82" s="262"/>
      <c r="T82" s="263"/>
    </row>
    <row r="83" spans="1:20" x14ac:dyDescent="0.2">
      <c r="A83" s="26"/>
      <c r="B83" s="253"/>
      <c r="C83" s="254"/>
      <c r="D83" s="254"/>
      <c r="E83" s="254"/>
      <c r="F83" s="254"/>
      <c r="G83" s="254"/>
      <c r="H83" s="254"/>
      <c r="I83" s="255"/>
      <c r="J83" s="21">
        <v>0</v>
      </c>
      <c r="K83" s="21">
        <v>0</v>
      </c>
      <c r="L83" s="21">
        <v>0</v>
      </c>
      <c r="M83" s="21">
        <v>0</v>
      </c>
      <c r="N83" s="14">
        <f>K83+L83+M83</f>
        <v>0</v>
      </c>
      <c r="O83" s="14">
        <f>P83-N83</f>
        <v>0</v>
      </c>
      <c r="P83" s="14">
        <f>ROUND(PRODUCT(J83,25)/14,0)</f>
        <v>0</v>
      </c>
      <c r="Q83" s="21"/>
      <c r="R83" s="21"/>
      <c r="S83" s="22"/>
      <c r="T83" s="11"/>
    </row>
    <row r="84" spans="1:20" x14ac:dyDescent="0.2">
      <c r="A84" s="92" t="s">
        <v>162</v>
      </c>
      <c r="B84" s="264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4"/>
      <c r="P84" s="264"/>
      <c r="Q84" s="264"/>
      <c r="R84" s="264"/>
      <c r="S84" s="264"/>
      <c r="T84" s="265"/>
    </row>
    <row r="85" spans="1:20" x14ac:dyDescent="0.2">
      <c r="A85" s="26"/>
      <c r="B85" s="253"/>
      <c r="C85" s="254"/>
      <c r="D85" s="254"/>
      <c r="E85" s="254"/>
      <c r="F85" s="254"/>
      <c r="G85" s="254"/>
      <c r="H85" s="254"/>
      <c r="I85" s="255"/>
      <c r="J85" s="21">
        <v>0</v>
      </c>
      <c r="K85" s="21">
        <v>0</v>
      </c>
      <c r="L85" s="21">
        <v>0</v>
      </c>
      <c r="M85" s="21">
        <v>0</v>
      </c>
      <c r="N85" s="14">
        <f t="shared" ref="N85" si="13">K85+L85+M85</f>
        <v>0</v>
      </c>
      <c r="O85" s="14">
        <f t="shared" ref="O85" si="14">P85-N85</f>
        <v>0</v>
      </c>
      <c r="P85" s="14">
        <f t="shared" ref="P85" si="15">ROUND(PRODUCT(J85,25)/14,0)</f>
        <v>0</v>
      </c>
      <c r="Q85" s="21"/>
      <c r="R85" s="21"/>
      <c r="S85" s="22"/>
      <c r="T85" s="11"/>
    </row>
    <row r="86" spans="1:20" x14ac:dyDescent="0.2">
      <c r="A86" s="92" t="s">
        <v>151</v>
      </c>
      <c r="B86" s="264"/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5"/>
    </row>
    <row r="87" spans="1:20" ht="34.5" customHeight="1" x14ac:dyDescent="0.2">
      <c r="A87" s="77" t="s">
        <v>136</v>
      </c>
      <c r="B87" s="227" t="s">
        <v>164</v>
      </c>
      <c r="C87" s="228"/>
      <c r="D87" s="228"/>
      <c r="E87" s="228"/>
      <c r="F87" s="228"/>
      <c r="G87" s="228"/>
      <c r="H87" s="228"/>
      <c r="I87" s="229"/>
      <c r="J87" s="12">
        <v>5</v>
      </c>
      <c r="K87" s="12">
        <v>2</v>
      </c>
      <c r="L87" s="12">
        <v>1</v>
      </c>
      <c r="M87" s="12">
        <v>0</v>
      </c>
      <c r="N87" s="52">
        <f>K87+L87+M87</f>
        <v>3</v>
      </c>
      <c r="O87" s="14">
        <f>P87-N87</f>
        <v>6</v>
      </c>
      <c r="P87" s="14">
        <f>ROUND(PRODUCT(J87,25)/14,0)</f>
        <v>9</v>
      </c>
      <c r="Q87" s="21"/>
      <c r="R87" s="21" t="s">
        <v>28</v>
      </c>
      <c r="S87" s="22"/>
      <c r="T87" s="11"/>
    </row>
    <row r="88" spans="1:20" ht="27.75" customHeight="1" x14ac:dyDescent="0.2">
      <c r="A88" s="28" t="s">
        <v>136</v>
      </c>
      <c r="B88" s="258" t="s">
        <v>147</v>
      </c>
      <c r="C88" s="259"/>
      <c r="D88" s="259"/>
      <c r="E88" s="259"/>
      <c r="F88" s="259"/>
      <c r="G88" s="259"/>
      <c r="H88" s="259"/>
      <c r="I88" s="260"/>
      <c r="J88" s="63">
        <v>5</v>
      </c>
      <c r="K88" s="63">
        <v>2</v>
      </c>
      <c r="L88" s="63">
        <v>1</v>
      </c>
      <c r="M88" s="63">
        <v>0</v>
      </c>
      <c r="N88" s="14">
        <f>K88+L88+M88</f>
        <v>3</v>
      </c>
      <c r="O88" s="14">
        <f>P88-N88</f>
        <v>6</v>
      </c>
      <c r="P88" s="14">
        <f>ROUND(PRODUCT(J88,25)/14,0)</f>
        <v>9</v>
      </c>
      <c r="Q88" s="21" t="s">
        <v>32</v>
      </c>
      <c r="R88" s="21"/>
      <c r="S88" s="22"/>
      <c r="T88" s="11" t="s">
        <v>38</v>
      </c>
    </row>
    <row r="89" spans="1:20" x14ac:dyDescent="0.2">
      <c r="A89" s="92" t="s">
        <v>161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4"/>
    </row>
    <row r="90" spans="1:20" x14ac:dyDescent="0.2">
      <c r="A90" s="26"/>
      <c r="B90" s="266"/>
      <c r="C90" s="266"/>
      <c r="D90" s="266"/>
      <c r="E90" s="266"/>
      <c r="F90" s="266"/>
      <c r="G90" s="266"/>
      <c r="H90" s="266"/>
      <c r="I90" s="266"/>
      <c r="J90" s="21">
        <v>0</v>
      </c>
      <c r="K90" s="21">
        <v>0</v>
      </c>
      <c r="L90" s="21">
        <v>0</v>
      </c>
      <c r="M90" s="21">
        <v>0</v>
      </c>
      <c r="N90" s="14">
        <f t="shared" ref="N90" si="16">K90+L90+M90</f>
        <v>0</v>
      </c>
      <c r="O90" s="14">
        <f t="shared" ref="O90" si="17">P90-N90</f>
        <v>0</v>
      </c>
      <c r="P90" s="14">
        <f t="shared" ref="P90" si="18">ROUND(PRODUCT(J90,25)/12,0)</f>
        <v>0</v>
      </c>
      <c r="Q90" s="21"/>
      <c r="R90" s="21"/>
      <c r="S90" s="22"/>
      <c r="T90" s="11"/>
    </row>
    <row r="91" spans="1:20" ht="24.75" customHeight="1" x14ac:dyDescent="0.2">
      <c r="A91" s="142" t="s">
        <v>73</v>
      </c>
      <c r="B91" s="143"/>
      <c r="C91" s="143"/>
      <c r="D91" s="143"/>
      <c r="E91" s="143"/>
      <c r="F91" s="143"/>
      <c r="G91" s="143"/>
      <c r="H91" s="143"/>
      <c r="I91" s="144"/>
      <c r="J91" s="18">
        <f t="shared" ref="J91:P91" si="19">SUM(J83,J85,J87,J90)</f>
        <v>5</v>
      </c>
      <c r="K91" s="18">
        <f t="shared" si="19"/>
        <v>2</v>
      </c>
      <c r="L91" s="18">
        <f t="shared" si="19"/>
        <v>1</v>
      </c>
      <c r="M91" s="18">
        <f t="shared" si="19"/>
        <v>0</v>
      </c>
      <c r="N91" s="18">
        <f t="shared" si="19"/>
        <v>3</v>
      </c>
      <c r="O91" s="18">
        <f t="shared" si="19"/>
        <v>6</v>
      </c>
      <c r="P91" s="18">
        <f t="shared" si="19"/>
        <v>9</v>
      </c>
      <c r="Q91" s="18">
        <f>COUNTIF(Q83,"E")+COUNTIF(Q85,"E")+COUNTIF(Q87,"E")+COUNTIF(Q90,"E")</f>
        <v>0</v>
      </c>
      <c r="R91" s="18">
        <f>COUNTIF(R83,"C")+COUNTIF(R85,"C")+COUNTIF(R87,"C")+COUNTIF(R90,"C")</f>
        <v>1</v>
      </c>
      <c r="S91" s="18">
        <f>COUNTIF(S83,"VP")+COUNTIF(S85,"VP")+COUNTIF(S87,"VP")+COUNTIF(S90,"VP")</f>
        <v>0</v>
      </c>
      <c r="T91" s="71">
        <v>0.05</v>
      </c>
    </row>
    <row r="92" spans="1:20" ht="13.5" customHeight="1" x14ac:dyDescent="0.2">
      <c r="A92" s="151" t="s">
        <v>48</v>
      </c>
      <c r="B92" s="152"/>
      <c r="C92" s="152"/>
      <c r="D92" s="152"/>
      <c r="E92" s="152"/>
      <c r="F92" s="152"/>
      <c r="G92" s="152"/>
      <c r="H92" s="152"/>
      <c r="I92" s="152"/>
      <c r="J92" s="153"/>
      <c r="K92" s="18">
        <f t="shared" ref="K92:P92" si="20">SUM(K83,K85,K87)*14+K90*12</f>
        <v>28</v>
      </c>
      <c r="L92" s="18">
        <f t="shared" si="20"/>
        <v>14</v>
      </c>
      <c r="M92" s="18">
        <f t="shared" si="20"/>
        <v>0</v>
      </c>
      <c r="N92" s="18">
        <f t="shared" si="20"/>
        <v>42</v>
      </c>
      <c r="O92" s="18">
        <f t="shared" si="20"/>
        <v>84</v>
      </c>
      <c r="P92" s="18">
        <f t="shared" si="20"/>
        <v>126</v>
      </c>
      <c r="Q92" s="157"/>
      <c r="R92" s="158"/>
      <c r="S92" s="158"/>
      <c r="T92" s="159"/>
    </row>
    <row r="93" spans="1:20" x14ac:dyDescent="0.2">
      <c r="A93" s="154"/>
      <c r="B93" s="155"/>
      <c r="C93" s="155"/>
      <c r="D93" s="155"/>
      <c r="E93" s="155"/>
      <c r="F93" s="155"/>
      <c r="G93" s="155"/>
      <c r="H93" s="155"/>
      <c r="I93" s="155"/>
      <c r="J93" s="156"/>
      <c r="K93" s="145">
        <f>SUM(K92:M92)</f>
        <v>42</v>
      </c>
      <c r="L93" s="146"/>
      <c r="M93" s="147"/>
      <c r="N93" s="148">
        <f>SUM(N92:O92)</f>
        <v>126</v>
      </c>
      <c r="O93" s="149"/>
      <c r="P93" s="150"/>
      <c r="Q93" s="160"/>
      <c r="R93" s="161"/>
      <c r="S93" s="161"/>
      <c r="T93" s="162"/>
    </row>
    <row r="94" spans="1:20" ht="24" customHeight="1" x14ac:dyDescent="0.2">
      <c r="A94" s="219" t="s">
        <v>49</v>
      </c>
      <c r="B94" s="219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</row>
    <row r="95" spans="1:20" ht="16.5" customHeight="1" x14ac:dyDescent="0.2">
      <c r="A95" s="138" t="s">
        <v>50</v>
      </c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39"/>
    </row>
    <row r="96" spans="1:20" ht="34.5" customHeight="1" x14ac:dyDescent="0.2">
      <c r="A96" s="140" t="s">
        <v>27</v>
      </c>
      <c r="B96" s="140" t="s">
        <v>26</v>
      </c>
      <c r="C96" s="140"/>
      <c r="D96" s="140"/>
      <c r="E96" s="140"/>
      <c r="F96" s="140"/>
      <c r="G96" s="140"/>
      <c r="H96" s="140"/>
      <c r="I96" s="140"/>
      <c r="J96" s="171" t="s">
        <v>40</v>
      </c>
      <c r="K96" s="171" t="s">
        <v>24</v>
      </c>
      <c r="L96" s="171"/>
      <c r="M96" s="171"/>
      <c r="N96" s="171" t="s">
        <v>41</v>
      </c>
      <c r="O96" s="171"/>
      <c r="P96" s="171"/>
      <c r="Q96" s="171" t="s">
        <v>23</v>
      </c>
      <c r="R96" s="171"/>
      <c r="S96" s="171"/>
      <c r="T96" s="171" t="s">
        <v>22</v>
      </c>
    </row>
    <row r="97" spans="1:20" x14ac:dyDescent="0.2">
      <c r="A97" s="140"/>
      <c r="B97" s="140"/>
      <c r="C97" s="140"/>
      <c r="D97" s="140"/>
      <c r="E97" s="140"/>
      <c r="F97" s="140"/>
      <c r="G97" s="140"/>
      <c r="H97" s="140"/>
      <c r="I97" s="140"/>
      <c r="J97" s="171"/>
      <c r="K97" s="24" t="s">
        <v>28</v>
      </c>
      <c r="L97" s="24" t="s">
        <v>29</v>
      </c>
      <c r="M97" s="24" t="s">
        <v>30</v>
      </c>
      <c r="N97" s="24" t="s">
        <v>34</v>
      </c>
      <c r="O97" s="24" t="s">
        <v>7</v>
      </c>
      <c r="P97" s="24" t="s">
        <v>31</v>
      </c>
      <c r="Q97" s="24" t="s">
        <v>32</v>
      </c>
      <c r="R97" s="24" t="s">
        <v>28</v>
      </c>
      <c r="S97" s="24" t="s">
        <v>33</v>
      </c>
      <c r="T97" s="171"/>
    </row>
    <row r="98" spans="1:20" ht="17.25" customHeight="1" x14ac:dyDescent="0.2">
      <c r="A98" s="138" t="s">
        <v>62</v>
      </c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39"/>
    </row>
    <row r="99" spans="1:20" x14ac:dyDescent="0.2">
      <c r="A99" s="27" t="str">
        <f>IF(ISNA(INDEX($A$34:$T$93,MATCH($B99,$B$34:$B$93,0),1)),"",INDEX($A$34:$T$93,MATCH($B99,$B$34:$B$93,0),1))</f>
        <v>SMR0006</v>
      </c>
      <c r="B99" s="141" t="s">
        <v>114</v>
      </c>
      <c r="C99" s="141"/>
      <c r="D99" s="141"/>
      <c r="E99" s="141"/>
      <c r="F99" s="141"/>
      <c r="G99" s="141"/>
      <c r="H99" s="141"/>
      <c r="I99" s="141"/>
      <c r="J99" s="14">
        <f>IF(ISNA(INDEX($A$34:$T$93,MATCH($B99,$B$34:$B$93,0),10)),"",INDEX($A$34:$T$93,MATCH($B99,$B$34:$B$93,0),10))</f>
        <v>6</v>
      </c>
      <c r="K99" s="14">
        <f>IF(ISNA(INDEX($A$34:$T$93,MATCH($B99,$B$34:$B$93,0),11)),"",INDEX($A$34:$T$93,MATCH($B99,$B$34:$B$93,0),11))</f>
        <v>2</v>
      </c>
      <c r="L99" s="14">
        <f>IF(ISNA(INDEX($A$34:$T$93,MATCH($B99,$B$34:$B$93,0),12)),"",INDEX($A$34:$T$93,MATCH($B99,$B$34:$B$93,0),12))</f>
        <v>1</v>
      </c>
      <c r="M99" s="14">
        <f>IF(ISNA(INDEX($A$34:$T$93,MATCH($B99,$B$34:$B$93,0),13)),"",INDEX($A$34:$T$93,MATCH($B99,$B$34:$B$93,0),13))</f>
        <v>0</v>
      </c>
      <c r="N99" s="14">
        <f>IF(ISNA(INDEX($A$34:$T$93,MATCH($B99,$B$34:$B$93,0),14)),"",INDEX($A$34:$T$93,MATCH($B99,$B$34:$B$93,0),14))</f>
        <v>3</v>
      </c>
      <c r="O99" s="14">
        <f>IF(ISNA(INDEX($A$34:$T$93,MATCH($B99,$B$34:$B$93,0),15)),"",INDEX($A$34:$T$93,MATCH($B99,$B$34:$B$93,0),15))</f>
        <v>8</v>
      </c>
      <c r="P99" s="14">
        <f>IF(ISNA(INDEX($A$34:$T$93,MATCH($B99,$B$34:$B$93,0),16)),"",INDEX($A$34:$T$93,MATCH($B99,$B$34:$B$93,0),16))</f>
        <v>11</v>
      </c>
      <c r="Q99" s="23" t="str">
        <f>IF(ISNA(INDEX($A$34:$T$93,MATCH($B99,$B$34:$B$93,0),17)),"",INDEX($A$34:$T$93,MATCH($B99,$B$34:$B$93,0),17))</f>
        <v>E</v>
      </c>
      <c r="R99" s="23">
        <f>IF(ISNA(INDEX($A$34:$T$93,MATCH($B99,$B$34:$B$93,0),18)),"",INDEX($A$34:$T$93,MATCH($B99,$B$34:$B$93,0),18))</f>
        <v>0</v>
      </c>
      <c r="S99" s="23">
        <f>IF(ISNA(INDEX($A$34:$T$93,MATCH($B99,$B$34:$B$93,0),19)),"",INDEX($A$34:$T$93,MATCH($B99,$B$34:$B$93,0),19))</f>
        <v>0</v>
      </c>
      <c r="T99" s="15" t="s">
        <v>37</v>
      </c>
    </row>
    <row r="100" spans="1:20" x14ac:dyDescent="0.2">
      <c r="A100" s="27">
        <f>IF(ISNA(INDEX($A$34:$T$93,MATCH($B100,$B$34:$B$93,0),1)),"",INDEX($A$34:$T$93,MATCH($B100,$B$34:$B$93,0),1))</f>
        <v>0</v>
      </c>
      <c r="B100" s="141" t="s">
        <v>158</v>
      </c>
      <c r="C100" s="141"/>
      <c r="D100" s="141"/>
      <c r="E100" s="141"/>
      <c r="F100" s="141"/>
      <c r="G100" s="141"/>
      <c r="H100" s="141"/>
      <c r="I100" s="141"/>
      <c r="J100" s="14">
        <f>IF(ISNA(INDEX($A$34:$T$93,MATCH($B100,$B$34:$B$93,0),10)),"",INDEX($A$34:$T$93,MATCH($B100,$B$34:$B$93,0),10))</f>
        <v>5</v>
      </c>
      <c r="K100" s="14">
        <f>IF(ISNA(INDEX($A$34:$T$93,MATCH($B100,$B$34:$B$93,0),11)),"",INDEX($A$34:$T$93,MATCH($B100,$B$34:$B$93,0),11))</f>
        <v>1</v>
      </c>
      <c r="L100" s="14">
        <f>IF(ISNA(INDEX($A$34:$T$93,MATCH($B100,$B$34:$B$93,0),12)),"",INDEX($A$34:$T$93,MATCH($B100,$B$34:$B$93,0),12))</f>
        <v>1</v>
      </c>
      <c r="M100" s="14">
        <f>IF(ISNA(INDEX($A$34:$T$93,MATCH($B100,$B$34:$B$93,0),13)),"",INDEX($A$34:$T$93,MATCH($B100,$B$34:$B$93,0),13))</f>
        <v>0</v>
      </c>
      <c r="N100" s="14">
        <f>IF(ISNA(INDEX($A$34:$T$93,MATCH($B100,$B$34:$B$93,0),14)),"",INDEX($A$34:$T$93,MATCH($B100,$B$34:$B$93,0),14))</f>
        <v>2</v>
      </c>
      <c r="O100" s="14">
        <f>IF(ISNA(INDEX($A$34:$T$93,MATCH($B100,$B$34:$B$93,0),15)),"",INDEX($A$34:$T$93,MATCH($B100,$B$34:$B$93,0),15))</f>
        <v>7</v>
      </c>
      <c r="P100" s="14">
        <f>IF(ISNA(INDEX($A$34:$T$93,MATCH($B100,$B$34:$B$93,0),16)),"",INDEX($A$34:$T$93,MATCH($B100,$B$34:$B$93,0),16))</f>
        <v>9</v>
      </c>
      <c r="Q100" s="23" t="str">
        <f>IF(ISNA(INDEX($A$34:$T$93,MATCH($B100,$B$34:$B$93,0),17)),"",INDEX($A$34:$T$93,MATCH($B100,$B$34:$B$93,0),17))</f>
        <v>E</v>
      </c>
      <c r="R100" s="23">
        <f>IF(ISNA(INDEX($A$34:$T$93,MATCH($B100,$B$34:$B$93,0),18)),"",INDEX($A$34:$T$93,MATCH($B100,$B$34:$B$93,0),18))</f>
        <v>0</v>
      </c>
      <c r="S100" s="23">
        <f>IF(ISNA(INDEX($A$34:$T$93,MATCH($B100,$B$34:$B$93,0),19)),"",INDEX($A$34:$T$93,MATCH($B100,$B$34:$B$93,0),19))</f>
        <v>0</v>
      </c>
      <c r="T100" s="15" t="s">
        <v>37</v>
      </c>
    </row>
    <row r="101" spans="1:20" s="50" customFormat="1" x14ac:dyDescent="0.2">
      <c r="A101" s="27" t="str">
        <f>IF(ISNA(INDEX($A$34:$T$93,MATCH($B101,$B$34:$B$93,0),1)),"",INDEX($A$34:$T$93,MATCH($B101,$B$34:$B$93,0),1))</f>
        <v>SME0117</v>
      </c>
      <c r="B101" s="141" t="s">
        <v>159</v>
      </c>
      <c r="C101" s="141"/>
      <c r="D101" s="141"/>
      <c r="E101" s="141"/>
      <c r="F101" s="141"/>
      <c r="G101" s="141"/>
      <c r="H101" s="141"/>
      <c r="I101" s="141"/>
      <c r="J101" s="14">
        <f>IF(ISNA(INDEX($A$34:$T$93,MATCH($B101,$B$34:$B$93,0),10)),"",INDEX($A$34:$T$93,MATCH($B101,$B$34:$B$93,0),10))</f>
        <v>5</v>
      </c>
      <c r="K101" s="14">
        <f>IF(ISNA(INDEX($A$34:$T$93,MATCH($B101,$B$34:$B$93,0),11)),"",INDEX($A$34:$T$93,MATCH($B101,$B$34:$B$93,0),11))</f>
        <v>1</v>
      </c>
      <c r="L101" s="14">
        <f>IF(ISNA(INDEX($A$34:$T$93,MATCH($B101,$B$34:$B$93,0),12)),"",INDEX($A$34:$T$93,MATCH($B101,$B$34:$B$93,0),12))</f>
        <v>1</v>
      </c>
      <c r="M101" s="14">
        <f>IF(ISNA(INDEX($A$34:$T$93,MATCH($B101,$B$34:$B$93,0),13)),"",INDEX($A$34:$T$93,MATCH($B101,$B$34:$B$93,0),13))</f>
        <v>0</v>
      </c>
      <c r="N101" s="14">
        <f>IF(ISNA(INDEX($A$34:$T$93,MATCH($B101,$B$34:$B$93,0),14)),"",INDEX($A$34:$T$93,MATCH($B101,$B$34:$B$93,0),14))</f>
        <v>2</v>
      </c>
      <c r="O101" s="14">
        <f>IF(ISNA(INDEX($A$34:$T$93,MATCH($B101,$B$34:$B$93,0),15)),"",INDEX($A$34:$T$93,MATCH($B101,$B$34:$B$93,0),15))</f>
        <v>7</v>
      </c>
      <c r="P101" s="14">
        <f>IF(ISNA(INDEX($A$34:$T$93,MATCH($B101,$B$34:$B$93,0),16)),"",INDEX($A$34:$T$93,MATCH($B101,$B$34:$B$93,0),16))</f>
        <v>9</v>
      </c>
      <c r="Q101" s="23" t="str">
        <f>IF(ISNA(INDEX($A$34:$T$93,MATCH($B101,$B$34:$B$93,0),17)),"",INDEX($A$34:$T$93,MATCH($B101,$B$34:$B$93,0),17))</f>
        <v>E</v>
      </c>
      <c r="R101" s="23">
        <f>IF(ISNA(INDEX($A$34:$T$93,MATCH($B101,$B$34:$B$93,0),18)),"",INDEX($A$34:$T$93,MATCH($B101,$B$34:$B$93,0),18))</f>
        <v>0</v>
      </c>
      <c r="S101" s="23">
        <f>IF(ISNA(INDEX($A$34:$T$93,MATCH($B101,$B$34:$B$93,0),19)),"",INDEX($A$34:$T$93,MATCH($B101,$B$34:$B$93,0),19))</f>
        <v>0</v>
      </c>
      <c r="T101" s="75" t="s">
        <v>37</v>
      </c>
    </row>
    <row r="102" spans="1:20" s="68" customFormat="1" x14ac:dyDescent="0.2">
      <c r="A102" s="27">
        <f>IF(ISNA(INDEX($A$34:$T$93,MATCH($B102,$B$34:$B$93,0),1)),"",INDEX($A$34:$T$93,MATCH($B102,$B$34:$B$93,0),1))</f>
        <v>0</v>
      </c>
      <c r="B102" s="141" t="s">
        <v>157</v>
      </c>
      <c r="C102" s="141"/>
      <c r="D102" s="141"/>
      <c r="E102" s="141"/>
      <c r="F102" s="141"/>
      <c r="G102" s="141"/>
      <c r="H102" s="141"/>
      <c r="I102" s="141"/>
      <c r="J102" s="14">
        <f>IF(ISNA(INDEX($A$34:$T$93,MATCH($B102,$B$34:$B$93,0),10)),"",INDEX($A$34:$T$93,MATCH($B102,$B$34:$B$93,0),10))</f>
        <v>5</v>
      </c>
      <c r="K102" s="14">
        <f>IF(ISNA(INDEX($A$34:$T$93,MATCH($B102,$B$34:$B$93,0),11)),"",INDEX($A$34:$T$93,MATCH($B102,$B$34:$B$93,0),11))</f>
        <v>1</v>
      </c>
      <c r="L102" s="14">
        <f>IF(ISNA(INDEX($A$34:$T$93,MATCH($B102,$B$34:$B$93,0),12)),"",INDEX($A$34:$T$93,MATCH($B102,$B$34:$B$93,0),12))</f>
        <v>1</v>
      </c>
      <c r="M102" s="14">
        <f>IF(ISNA(INDEX($A$34:$T$93,MATCH($B102,$B$34:$B$93,0),13)),"",INDEX($A$34:$T$93,MATCH($B102,$B$34:$B$93,0),13))</f>
        <v>0</v>
      </c>
      <c r="N102" s="14">
        <f>IF(ISNA(INDEX($A$34:$T$93,MATCH($B102,$B$34:$B$93,0),14)),"",INDEX($A$34:$T$93,MATCH($B102,$B$34:$B$93,0),14))</f>
        <v>2</v>
      </c>
      <c r="O102" s="14">
        <f>IF(ISNA(INDEX($A$34:$T$93,MATCH($B102,$B$34:$B$93,0),15)),"",INDEX($A$34:$T$93,MATCH($B102,$B$34:$B$93,0),15))</f>
        <v>7</v>
      </c>
      <c r="P102" s="14">
        <f>IF(ISNA(INDEX($A$34:$T$93,MATCH($B102,$B$34:$B$93,0),16)),"",INDEX($A$34:$T$93,MATCH($B102,$B$34:$B$93,0),16))</f>
        <v>9</v>
      </c>
      <c r="Q102" s="23" t="str">
        <f>IF(ISNA(INDEX($A$34:$T$93,MATCH($B102,$B$34:$B$93,0),17)),"",INDEX($A$34:$T$93,MATCH($B102,$B$34:$B$93,0),17))</f>
        <v>E</v>
      </c>
      <c r="R102" s="23">
        <f>IF(ISNA(INDEX($A$34:$T$93,MATCH($B102,$B$34:$B$93,0),18)),"",INDEX($A$34:$T$93,MATCH($B102,$B$34:$B$93,0),18))</f>
        <v>0</v>
      </c>
      <c r="S102" s="23">
        <f>IF(ISNA(INDEX($A$34:$T$93,MATCH($B102,$B$34:$B$93,0),19)),"",INDEX($A$34:$T$93,MATCH($B102,$B$34:$B$93,0),19))</f>
        <v>0</v>
      </c>
      <c r="T102" s="69" t="s">
        <v>37</v>
      </c>
    </row>
    <row r="103" spans="1:20" x14ac:dyDescent="0.2">
      <c r="A103" s="27" t="str">
        <f>IF(ISNA(INDEX($A$34:$T$93,MATCH($B103,$B$34:$B$93,0),1)),"",INDEX($A$34:$T$93,MATCH($B103,$B$34:$B$93,0),1))</f>
        <v>SME0147</v>
      </c>
      <c r="B103" s="141" t="s">
        <v>122</v>
      </c>
      <c r="C103" s="141"/>
      <c r="D103" s="141"/>
      <c r="E103" s="141"/>
      <c r="F103" s="141"/>
      <c r="G103" s="141"/>
      <c r="H103" s="141"/>
      <c r="I103" s="141"/>
      <c r="J103" s="14">
        <f>IF(ISNA(INDEX($A$34:$T$93,MATCH($B103,$B$34:$B$93,0),10)),"",INDEX($A$34:$T$93,MATCH($B103,$B$34:$B$93,0),10))</f>
        <v>5</v>
      </c>
      <c r="K103" s="14">
        <f>IF(ISNA(INDEX($A$34:$T$93,MATCH($B103,$B$34:$B$93,0),11)),"",INDEX($A$34:$T$93,MATCH($B103,$B$34:$B$93,0),11))</f>
        <v>2</v>
      </c>
      <c r="L103" s="14">
        <f>IF(ISNA(INDEX($A$34:$T$93,MATCH($B103,$B$34:$B$93,0),12)),"",INDEX($A$34:$T$93,MATCH($B103,$B$34:$B$93,0),12))</f>
        <v>1</v>
      </c>
      <c r="M103" s="14">
        <f>IF(ISNA(INDEX($A$34:$T$93,MATCH($B103,$B$34:$B$93,0),13)),"",INDEX($A$34:$T$93,MATCH($B103,$B$34:$B$93,0),13))</f>
        <v>0</v>
      </c>
      <c r="N103" s="14">
        <f>IF(ISNA(INDEX($A$34:$T$93,MATCH($B103,$B$34:$B$93,0),14)),"",INDEX($A$34:$T$93,MATCH($B103,$B$34:$B$93,0),14))</f>
        <v>3</v>
      </c>
      <c r="O103" s="14">
        <f>IF(ISNA(INDEX($A$34:$T$93,MATCH($B103,$B$34:$B$93,0),15)),"",INDEX($A$34:$T$93,MATCH($B103,$B$34:$B$93,0),15))</f>
        <v>6</v>
      </c>
      <c r="P103" s="14">
        <f>IF(ISNA(INDEX($A$34:$T$93,MATCH($B103,$B$34:$B$93,0),16)),"",INDEX($A$34:$T$93,MATCH($B103,$B$34:$B$93,0),16))</f>
        <v>9</v>
      </c>
      <c r="Q103" s="23" t="str">
        <f>IF(ISNA(INDEX($A$34:$T$93,MATCH($B103,$B$34:$B$93,0),17)),"",INDEX($A$34:$T$93,MATCH($B103,$B$34:$B$93,0),17))</f>
        <v>E</v>
      </c>
      <c r="R103" s="23">
        <f>IF(ISNA(INDEX($A$34:$T$93,MATCH($B103,$B$34:$B$93,0),18)),"",INDEX($A$34:$T$93,MATCH($B103,$B$34:$B$93,0),18))</f>
        <v>0</v>
      </c>
      <c r="S103" s="23">
        <f>IF(ISNA(INDEX($A$34:$T$93,MATCH($B103,$B$34:$B$93,0),19)),"",INDEX($A$34:$T$93,MATCH($B103,$B$34:$B$93,0),19))</f>
        <v>0</v>
      </c>
      <c r="T103" s="15" t="s">
        <v>37</v>
      </c>
    </row>
    <row r="104" spans="1:20" x14ac:dyDescent="0.2">
      <c r="A104" s="16" t="s">
        <v>25</v>
      </c>
      <c r="B104" s="167"/>
      <c r="C104" s="168"/>
      <c r="D104" s="168"/>
      <c r="E104" s="168"/>
      <c r="F104" s="168"/>
      <c r="G104" s="168"/>
      <c r="H104" s="168"/>
      <c r="I104" s="169"/>
      <c r="J104" s="18">
        <f>IF(ISNA(SUM(J99:J103)),"",SUM(J99:J103))</f>
        <v>26</v>
      </c>
      <c r="K104" s="18">
        <f t="shared" ref="K104:P104" si="21">SUM(K99:K103)</f>
        <v>7</v>
      </c>
      <c r="L104" s="18">
        <f t="shared" si="21"/>
        <v>5</v>
      </c>
      <c r="M104" s="18">
        <f t="shared" si="21"/>
        <v>0</v>
      </c>
      <c r="N104" s="18">
        <f t="shared" si="21"/>
        <v>12</v>
      </c>
      <c r="O104" s="18">
        <f t="shared" si="21"/>
        <v>35</v>
      </c>
      <c r="P104" s="18">
        <f t="shared" si="21"/>
        <v>47</v>
      </c>
      <c r="Q104" s="16">
        <f>COUNTIF(Q99:Q103,"E")</f>
        <v>5</v>
      </c>
      <c r="R104" s="16">
        <f>COUNTIF(R99:R103,"C")</f>
        <v>0</v>
      </c>
      <c r="S104" s="16">
        <f>COUNTIF(S99:S103,"VP")</f>
        <v>0</v>
      </c>
      <c r="T104" s="15"/>
    </row>
    <row r="105" spans="1:20" ht="17.25" customHeight="1" x14ac:dyDescent="0.2">
      <c r="A105" s="138" t="s">
        <v>63</v>
      </c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39"/>
    </row>
    <row r="106" spans="1:20" x14ac:dyDescent="0.2">
      <c r="A106" s="27" t="str">
        <f>IF(ISNA(INDEX($A$34:$T$93,MATCH($B106,$B$34:$B$93,0),1)),"",INDEX($A$34:$T$93,MATCH($B106,$B$34:$B$93,0),1))</f>
        <v xml:space="preserve">SME0151 </v>
      </c>
      <c r="B106" s="141" t="s">
        <v>142</v>
      </c>
      <c r="C106" s="141"/>
      <c r="D106" s="141"/>
      <c r="E106" s="141"/>
      <c r="F106" s="141"/>
      <c r="G106" s="141"/>
      <c r="H106" s="141"/>
      <c r="I106" s="141"/>
      <c r="J106" s="14">
        <f>IF(ISNA(INDEX($A$34:$T$93,MATCH($B106,$B$34:$B$93,0),10)),"",INDEX($A$34:$T$93,MATCH($B106,$B$34:$B$93,0),10))</f>
        <v>4</v>
      </c>
      <c r="K106" s="14">
        <f>IF(ISNA(INDEX($A$34:$T$93,MATCH($B106,$B$34:$B$93,0),11)),"",INDEX($A$34:$T$93,MATCH($B106,$B$34:$B$93,0),11))</f>
        <v>1</v>
      </c>
      <c r="L106" s="14">
        <f>IF(ISNA(INDEX($A$34:$T$93,MATCH($B106,$B$34:$B$93,0),12)),"",INDEX($A$34:$T$93,MATCH($B106,$B$34:$B$93,0),12))</f>
        <v>2</v>
      </c>
      <c r="M106" s="14">
        <f>IF(ISNA(INDEX($A$34:$T$93,MATCH($B106,$B$34:$B$93,0),13)),"",INDEX($A$34:$T$93,MATCH($B106,$B$34:$B$93,0),13))</f>
        <v>0</v>
      </c>
      <c r="N106" s="14">
        <f>IF(ISNA(INDEX($A$34:$T$93,MATCH($B106,$B$34:$B$93,0),14)),"",INDEX($A$34:$T$93,MATCH($B106,$B$34:$B$93,0),14))</f>
        <v>3</v>
      </c>
      <c r="O106" s="14">
        <f>IF(ISNA(INDEX($A$34:$T$93,MATCH($B106,$B$34:$B$93,0),15)),"",INDEX($A$34:$T$93,MATCH($B106,$B$34:$B$93,0),15))</f>
        <v>5</v>
      </c>
      <c r="P106" s="14">
        <f>IF(ISNA(INDEX($A$34:$T$93,MATCH($B106,$B$34:$B$93,0),16)),"",INDEX($A$34:$T$93,MATCH($B106,$B$34:$B$93,0),16))</f>
        <v>8</v>
      </c>
      <c r="Q106" s="23" t="str">
        <f>IF(ISNA(INDEX($A$34:$T$93,MATCH($B106,$B$34:$B$93,0),17)),"",INDEX($A$34:$T$93,MATCH($B106,$B$34:$B$93,0),17))</f>
        <v>E</v>
      </c>
      <c r="R106" s="23">
        <f>IF(ISNA(INDEX($A$34:$T$93,MATCH($B106,$B$34:$B$93,0),18)),"",INDEX($A$34:$T$93,MATCH($B106,$B$34:$B$93,0),18))</f>
        <v>0</v>
      </c>
      <c r="S106" s="23">
        <f>IF(ISNA(INDEX($A$34:$T$93,MATCH($B106,$B$34:$B$93,0),19)),"",INDEX($A$34:$T$93,MATCH($B106,$B$34:$B$93,0),19))</f>
        <v>0</v>
      </c>
      <c r="T106" s="15"/>
    </row>
    <row r="107" spans="1:20" x14ac:dyDescent="0.2">
      <c r="A107" s="16" t="s">
        <v>25</v>
      </c>
      <c r="B107" s="140"/>
      <c r="C107" s="140"/>
      <c r="D107" s="140"/>
      <c r="E107" s="140"/>
      <c r="F107" s="140"/>
      <c r="G107" s="140"/>
      <c r="H107" s="140"/>
      <c r="I107" s="140"/>
      <c r="J107" s="18">
        <f t="shared" ref="J107:P107" si="22">SUM(J106:J106)</f>
        <v>4</v>
      </c>
      <c r="K107" s="18">
        <f t="shared" si="22"/>
        <v>1</v>
      </c>
      <c r="L107" s="18">
        <f t="shared" si="22"/>
        <v>2</v>
      </c>
      <c r="M107" s="18">
        <f t="shared" si="22"/>
        <v>0</v>
      </c>
      <c r="N107" s="18">
        <f t="shared" si="22"/>
        <v>3</v>
      </c>
      <c r="O107" s="18">
        <f t="shared" si="22"/>
        <v>5</v>
      </c>
      <c r="P107" s="18">
        <f t="shared" si="22"/>
        <v>8</v>
      </c>
      <c r="Q107" s="16">
        <f>COUNTIF(Q106:Q106,"E")</f>
        <v>1</v>
      </c>
      <c r="R107" s="16">
        <f>COUNTIF(R106:R106,"C")</f>
        <v>0</v>
      </c>
      <c r="S107" s="16">
        <f>COUNTIF(S106:S106,"VP")</f>
        <v>0</v>
      </c>
      <c r="T107" s="17"/>
    </row>
    <row r="108" spans="1:20" ht="27" customHeight="1" x14ac:dyDescent="0.2">
      <c r="A108" s="142" t="s">
        <v>73</v>
      </c>
      <c r="B108" s="143"/>
      <c r="C108" s="143"/>
      <c r="D108" s="143"/>
      <c r="E108" s="143"/>
      <c r="F108" s="143"/>
      <c r="G108" s="143"/>
      <c r="H108" s="143"/>
      <c r="I108" s="144"/>
      <c r="J108" s="18">
        <f t="shared" ref="J108:S108" si="23">SUM(J104,J107)</f>
        <v>30</v>
      </c>
      <c r="K108" s="18">
        <f t="shared" si="23"/>
        <v>8</v>
      </c>
      <c r="L108" s="18">
        <f t="shared" si="23"/>
        <v>7</v>
      </c>
      <c r="M108" s="18">
        <f t="shared" si="23"/>
        <v>0</v>
      </c>
      <c r="N108" s="18">
        <f t="shared" si="23"/>
        <v>15</v>
      </c>
      <c r="O108" s="18">
        <f t="shared" si="23"/>
        <v>40</v>
      </c>
      <c r="P108" s="18">
        <f t="shared" si="23"/>
        <v>55</v>
      </c>
      <c r="Q108" s="18">
        <f t="shared" si="23"/>
        <v>6</v>
      </c>
      <c r="R108" s="18">
        <f t="shared" si="23"/>
        <v>0</v>
      </c>
      <c r="S108" s="18">
        <f t="shared" si="23"/>
        <v>0</v>
      </c>
      <c r="T108" s="73">
        <v>0.21729999999999999</v>
      </c>
    </row>
    <row r="109" spans="1:20" x14ac:dyDescent="0.2">
      <c r="A109" s="151" t="s">
        <v>48</v>
      </c>
      <c r="B109" s="152"/>
      <c r="C109" s="152"/>
      <c r="D109" s="152"/>
      <c r="E109" s="152"/>
      <c r="F109" s="152"/>
      <c r="G109" s="152"/>
      <c r="H109" s="152"/>
      <c r="I109" s="152"/>
      <c r="J109" s="153"/>
      <c r="K109" s="18">
        <f t="shared" ref="K109:P109" si="24">K104*14+K107*12</f>
        <v>110</v>
      </c>
      <c r="L109" s="18">
        <f t="shared" si="24"/>
        <v>94</v>
      </c>
      <c r="M109" s="18">
        <f t="shared" si="24"/>
        <v>0</v>
      </c>
      <c r="N109" s="18">
        <f t="shared" si="24"/>
        <v>204</v>
      </c>
      <c r="O109" s="18">
        <f t="shared" si="24"/>
        <v>550</v>
      </c>
      <c r="P109" s="18">
        <f t="shared" si="24"/>
        <v>754</v>
      </c>
      <c r="Q109" s="157"/>
      <c r="R109" s="158"/>
      <c r="S109" s="158"/>
      <c r="T109" s="159"/>
    </row>
    <row r="110" spans="1:20" x14ac:dyDescent="0.2">
      <c r="A110" s="154"/>
      <c r="B110" s="155"/>
      <c r="C110" s="155"/>
      <c r="D110" s="155"/>
      <c r="E110" s="155"/>
      <c r="F110" s="155"/>
      <c r="G110" s="155"/>
      <c r="H110" s="155"/>
      <c r="I110" s="155"/>
      <c r="J110" s="156"/>
      <c r="K110" s="145">
        <f>SUM(K109:M109)</f>
        <v>204</v>
      </c>
      <c r="L110" s="146"/>
      <c r="M110" s="147"/>
      <c r="N110" s="148">
        <f>SUM(N109:O109)</f>
        <v>754</v>
      </c>
      <c r="O110" s="149"/>
      <c r="P110" s="150"/>
      <c r="Q110" s="160"/>
      <c r="R110" s="161"/>
      <c r="S110" s="161"/>
      <c r="T110" s="162"/>
    </row>
    <row r="113" spans="1:34" ht="28.5" customHeight="1" x14ac:dyDescent="0.2">
      <c r="A113" s="176" t="s">
        <v>101</v>
      </c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</row>
    <row r="114" spans="1:34" ht="27.75" customHeight="1" x14ac:dyDescent="0.2">
      <c r="A114" s="140" t="s">
        <v>27</v>
      </c>
      <c r="B114" s="140" t="s">
        <v>26</v>
      </c>
      <c r="C114" s="140"/>
      <c r="D114" s="140"/>
      <c r="E114" s="140"/>
      <c r="F114" s="140"/>
      <c r="G114" s="140"/>
      <c r="H114" s="140"/>
      <c r="I114" s="140"/>
      <c r="J114" s="171" t="s">
        <v>40</v>
      </c>
      <c r="K114" s="171" t="s">
        <v>24</v>
      </c>
      <c r="L114" s="171"/>
      <c r="M114" s="171"/>
      <c r="N114" s="171" t="s">
        <v>41</v>
      </c>
      <c r="O114" s="171"/>
      <c r="P114" s="171"/>
      <c r="Q114" s="171" t="s">
        <v>23</v>
      </c>
      <c r="R114" s="171"/>
      <c r="S114" s="171"/>
      <c r="T114" s="171" t="s">
        <v>22</v>
      </c>
    </row>
    <row r="115" spans="1:34" ht="16.5" customHeight="1" x14ac:dyDescent="0.2">
      <c r="A115" s="140"/>
      <c r="B115" s="140"/>
      <c r="C115" s="140"/>
      <c r="D115" s="140"/>
      <c r="E115" s="140"/>
      <c r="F115" s="140"/>
      <c r="G115" s="140"/>
      <c r="H115" s="140"/>
      <c r="I115" s="140"/>
      <c r="J115" s="171"/>
      <c r="K115" s="24" t="s">
        <v>28</v>
      </c>
      <c r="L115" s="24" t="s">
        <v>29</v>
      </c>
      <c r="M115" s="24" t="s">
        <v>30</v>
      </c>
      <c r="N115" s="24" t="s">
        <v>34</v>
      </c>
      <c r="O115" s="24" t="s">
        <v>7</v>
      </c>
      <c r="P115" s="24" t="s">
        <v>31</v>
      </c>
      <c r="Q115" s="24" t="s">
        <v>32</v>
      </c>
      <c r="R115" s="24" t="s">
        <v>28</v>
      </c>
      <c r="S115" s="24" t="s">
        <v>33</v>
      </c>
      <c r="T115" s="171"/>
    </row>
    <row r="116" spans="1:34" ht="17.25" customHeight="1" x14ac:dyDescent="0.2">
      <c r="A116" s="138" t="s">
        <v>62</v>
      </c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39"/>
    </row>
    <row r="117" spans="1:34" x14ac:dyDescent="0.2">
      <c r="A117" s="27" t="str">
        <f t="shared" ref="A117:A126" si="25">IF(ISNA(INDEX($A$34:$T$93,MATCH($B117,$B$34:$B$93,0),1)),"",INDEX($A$34:$T$93,MATCH($B117,$B$34:$B$93,0),1))</f>
        <v>SMR0044</v>
      </c>
      <c r="B117" s="141" t="s">
        <v>154</v>
      </c>
      <c r="C117" s="141"/>
      <c r="D117" s="141"/>
      <c r="E117" s="141"/>
      <c r="F117" s="141"/>
      <c r="G117" s="141"/>
      <c r="H117" s="141"/>
      <c r="I117" s="141"/>
      <c r="J117" s="14">
        <f t="shared" ref="J117:J126" si="26">IF(ISNA(INDEX($A$34:$T$93,MATCH($B117,$B$34:$B$93,0),10)),"",INDEX($A$34:$T$93,MATCH($B117,$B$34:$B$93,0),10))</f>
        <v>6</v>
      </c>
      <c r="K117" s="14">
        <f t="shared" ref="K117:K126" si="27">IF(ISNA(INDEX($A$34:$T$93,MATCH($B117,$B$34:$B$93,0),11)),"",INDEX($A$34:$T$93,MATCH($B117,$B$34:$B$93,0),11))</f>
        <v>1</v>
      </c>
      <c r="L117" s="14">
        <f t="shared" ref="L117:L126" si="28">IF(ISNA(INDEX($A$34:$T$93,MATCH($B117,$B$34:$B$93,0),12)),"",INDEX($A$34:$T$93,MATCH($B117,$B$34:$B$93,0),12))</f>
        <v>1</v>
      </c>
      <c r="M117" s="14">
        <f t="shared" ref="M117:M126" si="29">IF(ISNA(INDEX($A$34:$T$93,MATCH($B117,$B$34:$B$93,0),13)),"",INDEX($A$34:$T$93,MATCH($B117,$B$34:$B$93,0),13))</f>
        <v>0</v>
      </c>
      <c r="N117" s="14">
        <f t="shared" ref="N117:N126" si="30">IF(ISNA(INDEX($A$34:$T$93,MATCH($B117,$B$34:$B$93,0),14)),"",INDEX($A$34:$T$93,MATCH($B117,$B$34:$B$93,0),14))</f>
        <v>2</v>
      </c>
      <c r="O117" s="14">
        <f t="shared" ref="O117:O126" si="31">IF(ISNA(INDEX($A$34:$T$93,MATCH($B117,$B$34:$B$93,0),15)),"",INDEX($A$34:$T$93,MATCH($B117,$B$34:$B$93,0),15))</f>
        <v>9</v>
      </c>
      <c r="P117" s="14">
        <f t="shared" ref="P117:P126" si="32">IF(ISNA(INDEX($A$34:$T$93,MATCH($B117,$B$34:$B$93,0),16)),"",INDEX($A$34:$T$93,MATCH($B117,$B$34:$B$93,0),16))</f>
        <v>11</v>
      </c>
      <c r="Q117" s="23" t="str">
        <f t="shared" ref="Q117:Q126" si="33">IF(ISNA(INDEX($A$34:$T$93,MATCH($B117,$B$34:$B$93,0),17)),"",INDEX($A$34:$T$93,MATCH($B117,$B$34:$B$93,0),17))</f>
        <v>E</v>
      </c>
      <c r="R117" s="23">
        <f t="shared" ref="R117:R126" si="34">IF(ISNA(INDEX($A$34:$T$93,MATCH($B117,$B$34:$B$93,0),18)),"",INDEX($A$34:$T$93,MATCH($B117,$B$34:$B$93,0),18))</f>
        <v>0</v>
      </c>
      <c r="S117" s="23">
        <f t="shared" ref="S117:S126" si="35">IF(ISNA(INDEX($A$34:$T$93,MATCH($B117,$B$34:$B$93,0),19)),"",INDEX($A$34:$T$93,MATCH($B117,$B$34:$B$93,0),19))</f>
        <v>0</v>
      </c>
      <c r="T117" s="15" t="s">
        <v>38</v>
      </c>
    </row>
    <row r="118" spans="1:34" x14ac:dyDescent="0.2">
      <c r="A118" s="27" t="str">
        <f t="shared" si="25"/>
        <v>SMR0138</v>
      </c>
      <c r="B118" s="141" t="s">
        <v>116</v>
      </c>
      <c r="C118" s="141"/>
      <c r="D118" s="141"/>
      <c r="E118" s="141"/>
      <c r="F118" s="141"/>
      <c r="G118" s="141"/>
      <c r="H118" s="141"/>
      <c r="I118" s="141"/>
      <c r="J118" s="14">
        <f t="shared" si="26"/>
        <v>6</v>
      </c>
      <c r="K118" s="14">
        <f t="shared" si="27"/>
        <v>2</v>
      </c>
      <c r="L118" s="14">
        <f t="shared" si="28"/>
        <v>1</v>
      </c>
      <c r="M118" s="14">
        <f t="shared" si="29"/>
        <v>0</v>
      </c>
      <c r="N118" s="14">
        <f t="shared" si="30"/>
        <v>3</v>
      </c>
      <c r="O118" s="14">
        <f t="shared" si="31"/>
        <v>8</v>
      </c>
      <c r="P118" s="14">
        <f t="shared" si="32"/>
        <v>11</v>
      </c>
      <c r="Q118" s="23" t="str">
        <f t="shared" si="33"/>
        <v>E</v>
      </c>
      <c r="R118" s="23">
        <f t="shared" si="34"/>
        <v>0</v>
      </c>
      <c r="S118" s="23">
        <f t="shared" si="35"/>
        <v>0</v>
      </c>
      <c r="T118" s="15" t="s">
        <v>38</v>
      </c>
    </row>
    <row r="119" spans="1:34" x14ac:dyDescent="0.2">
      <c r="A119" s="27" t="str">
        <f t="shared" si="25"/>
        <v>SMR0194</v>
      </c>
      <c r="B119" s="141" t="s">
        <v>156</v>
      </c>
      <c r="C119" s="141"/>
      <c r="D119" s="141"/>
      <c r="E119" s="141"/>
      <c r="F119" s="141"/>
      <c r="G119" s="141"/>
      <c r="H119" s="141"/>
      <c r="I119" s="141"/>
      <c r="J119" s="14">
        <f t="shared" si="26"/>
        <v>6</v>
      </c>
      <c r="K119" s="14">
        <f t="shared" si="27"/>
        <v>2</v>
      </c>
      <c r="L119" s="14">
        <f t="shared" si="28"/>
        <v>1</v>
      </c>
      <c r="M119" s="14">
        <f t="shared" si="29"/>
        <v>0</v>
      </c>
      <c r="N119" s="14">
        <f t="shared" si="30"/>
        <v>3</v>
      </c>
      <c r="O119" s="14">
        <f t="shared" si="31"/>
        <v>8</v>
      </c>
      <c r="P119" s="14">
        <f t="shared" si="32"/>
        <v>11</v>
      </c>
      <c r="Q119" s="23" t="str">
        <f t="shared" si="33"/>
        <v>E</v>
      </c>
      <c r="R119" s="23">
        <f t="shared" si="34"/>
        <v>0</v>
      </c>
      <c r="S119" s="23">
        <f t="shared" si="35"/>
        <v>0</v>
      </c>
      <c r="T119" s="15" t="s">
        <v>38</v>
      </c>
    </row>
    <row r="120" spans="1:34" x14ac:dyDescent="0.2">
      <c r="A120" s="27" t="str">
        <f t="shared" si="25"/>
        <v>SMR0133</v>
      </c>
      <c r="B120" s="141" t="s">
        <v>129</v>
      </c>
      <c r="C120" s="141"/>
      <c r="D120" s="141"/>
      <c r="E120" s="141"/>
      <c r="F120" s="141"/>
      <c r="G120" s="141"/>
      <c r="H120" s="141"/>
      <c r="I120" s="141"/>
      <c r="J120" s="14">
        <f t="shared" si="26"/>
        <v>5</v>
      </c>
      <c r="K120" s="14">
        <f t="shared" si="27"/>
        <v>2</v>
      </c>
      <c r="L120" s="14">
        <f t="shared" si="28"/>
        <v>1</v>
      </c>
      <c r="M120" s="14">
        <f t="shared" si="29"/>
        <v>0</v>
      </c>
      <c r="N120" s="14">
        <f t="shared" si="30"/>
        <v>3</v>
      </c>
      <c r="O120" s="14">
        <f t="shared" si="31"/>
        <v>6</v>
      </c>
      <c r="P120" s="14">
        <f t="shared" si="32"/>
        <v>9</v>
      </c>
      <c r="Q120" s="23" t="str">
        <f t="shared" si="33"/>
        <v>E</v>
      </c>
      <c r="R120" s="23">
        <f t="shared" si="34"/>
        <v>0</v>
      </c>
      <c r="S120" s="23">
        <f t="shared" si="35"/>
        <v>0</v>
      </c>
      <c r="T120" s="15" t="s">
        <v>38</v>
      </c>
    </row>
    <row r="121" spans="1:34" x14ac:dyDescent="0.2">
      <c r="A121" s="27" t="str">
        <f t="shared" si="25"/>
        <v>SMR0164</v>
      </c>
      <c r="B121" s="141" t="s">
        <v>131</v>
      </c>
      <c r="C121" s="141"/>
      <c r="D121" s="141"/>
      <c r="E121" s="141"/>
      <c r="F121" s="141"/>
      <c r="G121" s="141"/>
      <c r="H121" s="141"/>
      <c r="I121" s="141"/>
      <c r="J121" s="14">
        <f t="shared" si="26"/>
        <v>5</v>
      </c>
      <c r="K121" s="14">
        <f t="shared" si="27"/>
        <v>1</v>
      </c>
      <c r="L121" s="14">
        <f t="shared" si="28"/>
        <v>1</v>
      </c>
      <c r="M121" s="14">
        <f t="shared" si="29"/>
        <v>0</v>
      </c>
      <c r="N121" s="14">
        <f t="shared" si="30"/>
        <v>2</v>
      </c>
      <c r="O121" s="14">
        <f t="shared" si="31"/>
        <v>7</v>
      </c>
      <c r="P121" s="14">
        <f t="shared" si="32"/>
        <v>9</v>
      </c>
      <c r="Q121" s="23" t="str">
        <f t="shared" si="33"/>
        <v>E</v>
      </c>
      <c r="R121" s="23">
        <f t="shared" si="34"/>
        <v>0</v>
      </c>
      <c r="S121" s="23">
        <f t="shared" si="35"/>
        <v>0</v>
      </c>
      <c r="T121" s="15" t="s">
        <v>38</v>
      </c>
    </row>
    <row r="122" spans="1:34" x14ac:dyDescent="0.2">
      <c r="A122" s="27" t="str">
        <f t="shared" si="25"/>
        <v>SME0149</v>
      </c>
      <c r="B122" s="141" t="s">
        <v>135</v>
      </c>
      <c r="C122" s="141"/>
      <c r="D122" s="141"/>
      <c r="E122" s="141"/>
      <c r="F122" s="141"/>
      <c r="G122" s="141"/>
      <c r="H122" s="141"/>
      <c r="I122" s="141"/>
      <c r="J122" s="14">
        <f t="shared" si="26"/>
        <v>5</v>
      </c>
      <c r="K122" s="14">
        <f t="shared" si="27"/>
        <v>2</v>
      </c>
      <c r="L122" s="14">
        <f t="shared" si="28"/>
        <v>1</v>
      </c>
      <c r="M122" s="14">
        <f t="shared" si="29"/>
        <v>0</v>
      </c>
      <c r="N122" s="14">
        <f t="shared" si="30"/>
        <v>3</v>
      </c>
      <c r="O122" s="14">
        <f t="shared" si="31"/>
        <v>6</v>
      </c>
      <c r="P122" s="14">
        <f t="shared" si="32"/>
        <v>9</v>
      </c>
      <c r="Q122" s="23" t="str">
        <f t="shared" si="33"/>
        <v>E</v>
      </c>
      <c r="R122" s="23">
        <f t="shared" si="34"/>
        <v>0</v>
      </c>
      <c r="S122" s="23">
        <f t="shared" si="35"/>
        <v>0</v>
      </c>
      <c r="T122" s="15" t="s">
        <v>38</v>
      </c>
    </row>
    <row r="123" spans="1:34" s="76" customFormat="1" x14ac:dyDescent="0.2">
      <c r="A123" s="27" t="str">
        <f>IF(ISNA(INDEX($A$34:$T$93,MATCH($B123,$B$34:$B$93,0),1)),"",INDEX($A$34:$T$93,MATCH($B123,$B$34:$B$93,0),1))</f>
        <v>SMR0008</v>
      </c>
      <c r="B123" s="173" t="s">
        <v>124</v>
      </c>
      <c r="C123" s="222"/>
      <c r="D123" s="222"/>
      <c r="E123" s="222"/>
      <c r="F123" s="222"/>
      <c r="G123" s="222"/>
      <c r="H123" s="222"/>
      <c r="I123" s="223"/>
      <c r="J123" s="14">
        <f>IF(ISNA(INDEX($A$34:$T$93,MATCH($B123,$B$34:$B$93,0),10)),"",INDEX($A$34:$T$93,MATCH($B123,$B$34:$B$93,0),10))</f>
        <v>5</v>
      </c>
      <c r="K123" s="14">
        <f>IF(ISNA(INDEX($A$34:$T$93,MATCH($B123,$B$34:$B$93,0),11)),"",INDEX($A$34:$T$93,MATCH($B123,$B$34:$B$93,0),11))</f>
        <v>1</v>
      </c>
      <c r="L123" s="14">
        <f>IF(ISNA(INDEX($A$34:$T$93,MATCH($B123,$B$34:$B$93,0),12)),"",INDEX($A$34:$T$93,MATCH($B123,$B$34:$B$93,0),12))</f>
        <v>1</v>
      </c>
      <c r="M123" s="14">
        <f>IF(ISNA(INDEX($A$34:$T$93,MATCH($B123,$B$34:$B$93,0),13)),"",INDEX($A$34:$T$93,MATCH($B123,$B$34:$B$93,0),13))</f>
        <v>0</v>
      </c>
      <c r="N123" s="14">
        <f>IF(ISNA(INDEX($A$34:$T$93,MATCH($B123,$B$34:$B$93,0),14)),"",INDEX($A$34:$T$93,MATCH($B123,$B$34:$B$93,0),14))</f>
        <v>2</v>
      </c>
      <c r="O123" s="14">
        <f>IF(ISNA(INDEX($A$34:$T$93,MATCH($B123,$B$34:$B$93,0),15)),"",INDEX($A$34:$T$93,MATCH($B123,$B$34:$B$93,0),15))</f>
        <v>7</v>
      </c>
      <c r="P123" s="14">
        <f>IF(ISNA(INDEX($A$34:$T$93,MATCH($B123,$B$34:$B$93,0),16)),"",INDEX($A$34:$T$93,MATCH($B123,$B$34:$B$93,0),16))</f>
        <v>9</v>
      </c>
      <c r="Q123" s="23" t="str">
        <f>IF(ISNA(INDEX($A$34:$T$93,MATCH($B123,$B$34:$B$93,0),17)),"",INDEX($A$34:$T$93,MATCH($B123,$B$34:$B$93,0),17))</f>
        <v>E</v>
      </c>
      <c r="R123" s="23">
        <f>IF(ISNA(INDEX($A$34:$T$93,MATCH($B123,$B$34:$B$93,0),18)),"",INDEX($A$34:$T$93,MATCH($B123,$B$34:$B$93,0),18))</f>
        <v>0</v>
      </c>
      <c r="S123" s="23">
        <f>IF(ISNA(INDEX($A$34:$T$93,MATCH($B123,$B$34:$B$93,0),19)),"",INDEX($A$34:$T$93,MATCH($B123,$B$34:$B$93,0),19))</f>
        <v>0</v>
      </c>
      <c r="T123" s="15" t="s">
        <v>38</v>
      </c>
    </row>
    <row r="124" spans="1:34" s="76" customFormat="1" x14ac:dyDescent="0.2">
      <c r="A124" s="27" t="str">
        <f>IF(ISNA(INDEX($A$34:$T$93,MATCH($B124,$B$34:$B$93,0),1)),"",INDEX($A$34:$T$93,MATCH($B124,$B$34:$B$93,0),1))</f>
        <v>SMR0012</v>
      </c>
      <c r="B124" s="173" t="s">
        <v>120</v>
      </c>
      <c r="C124" s="222"/>
      <c r="D124" s="222"/>
      <c r="E124" s="222"/>
      <c r="F124" s="222"/>
      <c r="G124" s="222"/>
      <c r="H124" s="222"/>
      <c r="I124" s="223"/>
      <c r="J124" s="14">
        <f>IF(ISNA(INDEX($A$34:$T$93,MATCH($B124,$B$34:$B$93,0),10)),"",INDEX($A$34:$T$93,MATCH($B124,$B$34:$B$93,0),10))</f>
        <v>5</v>
      </c>
      <c r="K124" s="14">
        <f>IF(ISNA(INDEX($A$34:$T$93,MATCH($B124,$B$34:$B$93,0),11)),"",INDEX($A$34:$T$93,MATCH($B124,$B$34:$B$93,0),11))</f>
        <v>2</v>
      </c>
      <c r="L124" s="14">
        <f>IF(ISNA(INDEX($A$34:$T$93,MATCH($B124,$B$34:$B$93,0),12)),"",INDEX($A$34:$T$93,MATCH($B124,$B$34:$B$93,0),12))</f>
        <v>1</v>
      </c>
      <c r="M124" s="14">
        <f>IF(ISNA(INDEX($A$34:$T$93,MATCH($B124,$B$34:$B$93,0),13)),"",INDEX($A$34:$T$93,MATCH($B124,$B$34:$B$93,0),13))</f>
        <v>0</v>
      </c>
      <c r="N124" s="14">
        <f>IF(ISNA(INDEX($A$34:$T$93,MATCH($B124,$B$34:$B$93,0),14)),"",INDEX($A$34:$T$93,MATCH($B124,$B$34:$B$93,0),14))</f>
        <v>3</v>
      </c>
      <c r="O124" s="14">
        <f>IF(ISNA(INDEX($A$34:$T$93,MATCH($B124,$B$34:$B$93,0),15)),"",INDEX($A$34:$T$93,MATCH($B124,$B$34:$B$93,0),15))</f>
        <v>6</v>
      </c>
      <c r="P124" s="14">
        <f>IF(ISNA(INDEX($A$34:$T$93,MATCH($B124,$B$34:$B$93,0),16)),"",INDEX($A$34:$T$93,MATCH($B124,$B$34:$B$93,0),16))</f>
        <v>9</v>
      </c>
      <c r="Q124" s="23" t="str">
        <f>IF(ISNA(INDEX($A$34:$T$93,MATCH($B124,$B$34:$B$93,0),17)),"",INDEX($A$34:$T$93,MATCH($B124,$B$34:$B$93,0),17))</f>
        <v>E</v>
      </c>
      <c r="R124" s="23">
        <f>IF(ISNA(INDEX($A$34:$T$93,MATCH($B124,$B$34:$B$93,0),18)),"",INDEX($A$34:$T$93,MATCH($B124,$B$34:$B$93,0),18))</f>
        <v>0</v>
      </c>
      <c r="S124" s="23">
        <f>IF(ISNA(INDEX($A$34:$T$93,MATCH($B124,$B$34:$B$93,0),19)),"",INDEX($A$34:$T$93,MATCH($B124,$B$34:$B$93,0),19))</f>
        <v>0</v>
      </c>
      <c r="T124" s="15" t="s">
        <v>38</v>
      </c>
    </row>
    <row r="125" spans="1:34" ht="31.5" customHeight="1" x14ac:dyDescent="0.2">
      <c r="A125" s="27" t="str">
        <f t="shared" si="25"/>
        <v>SMR0161</v>
      </c>
      <c r="B125" s="172" t="s">
        <v>126</v>
      </c>
      <c r="C125" s="172"/>
      <c r="D125" s="172"/>
      <c r="E125" s="172"/>
      <c r="F125" s="172"/>
      <c r="G125" s="172"/>
      <c r="H125" s="172"/>
      <c r="I125" s="172"/>
      <c r="J125" s="14">
        <f t="shared" si="26"/>
        <v>6</v>
      </c>
      <c r="K125" s="14">
        <f t="shared" si="27"/>
        <v>2</v>
      </c>
      <c r="L125" s="14">
        <f t="shared" si="28"/>
        <v>1</v>
      </c>
      <c r="M125" s="14">
        <f t="shared" si="29"/>
        <v>0</v>
      </c>
      <c r="N125" s="14">
        <f t="shared" si="30"/>
        <v>3</v>
      </c>
      <c r="O125" s="14">
        <f t="shared" si="31"/>
        <v>8</v>
      </c>
      <c r="P125" s="14">
        <f t="shared" si="32"/>
        <v>11</v>
      </c>
      <c r="Q125" s="23" t="str">
        <f t="shared" si="33"/>
        <v>E</v>
      </c>
      <c r="R125" s="23">
        <f t="shared" si="34"/>
        <v>0</v>
      </c>
      <c r="S125" s="23">
        <f t="shared" si="35"/>
        <v>0</v>
      </c>
      <c r="T125" s="15" t="s">
        <v>38</v>
      </c>
    </row>
    <row r="126" spans="1:34" s="50" customFormat="1" x14ac:dyDescent="0.2">
      <c r="A126" s="27" t="str">
        <f t="shared" si="25"/>
        <v>SMR0184</v>
      </c>
      <c r="B126" s="141" t="s">
        <v>127</v>
      </c>
      <c r="C126" s="141"/>
      <c r="D126" s="141"/>
      <c r="E126" s="141"/>
      <c r="F126" s="141"/>
      <c r="G126" s="141"/>
      <c r="H126" s="141"/>
      <c r="I126" s="141"/>
      <c r="J126" s="14">
        <f t="shared" si="26"/>
        <v>5</v>
      </c>
      <c r="K126" s="14">
        <f t="shared" si="27"/>
        <v>0</v>
      </c>
      <c r="L126" s="14">
        <f t="shared" si="28"/>
        <v>0</v>
      </c>
      <c r="M126" s="14">
        <f t="shared" si="29"/>
        <v>4</v>
      </c>
      <c r="N126" s="14">
        <f t="shared" si="30"/>
        <v>4</v>
      </c>
      <c r="O126" s="14">
        <f t="shared" si="31"/>
        <v>5</v>
      </c>
      <c r="P126" s="14">
        <f t="shared" si="32"/>
        <v>9</v>
      </c>
      <c r="Q126" s="23">
        <f t="shared" si="33"/>
        <v>0</v>
      </c>
      <c r="R126" s="23" t="str">
        <f t="shared" si="34"/>
        <v>C</v>
      </c>
      <c r="S126" s="23">
        <f t="shared" si="35"/>
        <v>0</v>
      </c>
      <c r="T126" s="15" t="s">
        <v>38</v>
      </c>
    </row>
    <row r="127" spans="1:34" s="76" customFormat="1" x14ac:dyDescent="0.2">
      <c r="A127" s="27" t="str">
        <f>IF(ISNA(INDEX($A$34:$T$93,MATCH($B127,$B$34:$B$93,0),1)),"",INDEX($A$34:$T$93,MATCH($B127,$B$34:$B$93,0),1))</f>
        <v>SMX0001</v>
      </c>
      <c r="B127" s="173" t="s">
        <v>137</v>
      </c>
      <c r="C127" s="222"/>
      <c r="D127" s="222"/>
      <c r="E127" s="222"/>
      <c r="F127" s="222"/>
      <c r="G127" s="222"/>
      <c r="H127" s="222"/>
      <c r="I127" s="223"/>
      <c r="J127" s="14">
        <f>IF(ISNA(INDEX($A$34:$T$93,MATCH($B127,$B$34:$B$93,0),10)),"",INDEX($A$34:$T$93,MATCH($B127,$B$34:$B$93,0),10))</f>
        <v>5</v>
      </c>
      <c r="K127" s="14">
        <f>IF(ISNA(INDEX($A$34:$T$93,MATCH($B127,$B$34:$B$93,0),11)),"",INDEX($A$34:$T$93,MATCH($B127,$B$34:$B$93,0),11))</f>
        <v>2</v>
      </c>
      <c r="L127" s="14">
        <f>IF(ISNA(INDEX($A$34:$T$93,MATCH($B127,$B$34:$B$93,0),12)),"",INDEX($A$34:$T$93,MATCH($B127,$B$34:$B$93,0),12))</f>
        <v>1</v>
      </c>
      <c r="M127" s="14">
        <f>IF(ISNA(INDEX($A$34:$T$93,MATCH($B127,$B$34:$B$93,0),13)),"",INDEX($A$34:$T$93,MATCH($B127,$B$34:$B$93,0),13))</f>
        <v>0</v>
      </c>
      <c r="N127" s="14">
        <f>IF(ISNA(INDEX($A$34:$T$93,MATCH($B127,$B$34:$B$93,0),14)),"",INDEX($A$34:$T$93,MATCH($B127,$B$34:$B$93,0),14))</f>
        <v>3</v>
      </c>
      <c r="O127" s="14">
        <f>IF(ISNA(INDEX($A$34:$T$93,MATCH($B127,$B$34:$B$93,0),15)),"",INDEX($A$34:$T$93,MATCH($B127,$B$34:$B$93,0),15))</f>
        <v>6</v>
      </c>
      <c r="P127" s="14">
        <f>IF(ISNA(INDEX($A$34:$T$93,MATCH($B127,$B$34:$B$93,0),16)),"",INDEX($A$34:$T$93,MATCH($B127,$B$34:$B$93,0),16))</f>
        <v>9</v>
      </c>
      <c r="Q127" s="23" t="str">
        <f>IF(ISNA(INDEX($A$34:$T$93,MATCH($B127,$B$34:$B$93,0),17)),"",INDEX($A$34:$T$93,MATCH($B127,$B$34:$B$93,0),17))</f>
        <v>E</v>
      </c>
      <c r="R127" s="23">
        <f>IF(ISNA(INDEX($A$34:$T$93,MATCH($B127,$B$34:$B$93,0),18)),"",INDEX($A$34:$T$93,MATCH($B127,$B$34:$B$93,0),18))</f>
        <v>0</v>
      </c>
      <c r="S127" s="23">
        <f>IF(ISNA(INDEX($A$34:$T$93,MATCH($B127,$B$34:$B$93,0),19)),"",INDEX($A$34:$T$93,MATCH($B127,$B$34:$B$93,0),19))</f>
        <v>0</v>
      </c>
      <c r="T127" s="15" t="s">
        <v>38</v>
      </c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x14ac:dyDescent="0.2">
      <c r="A128" s="16" t="s">
        <v>25</v>
      </c>
      <c r="B128" s="167"/>
      <c r="C128" s="168"/>
      <c r="D128" s="168"/>
      <c r="E128" s="168"/>
      <c r="F128" s="168"/>
      <c r="G128" s="168"/>
      <c r="H128" s="168"/>
      <c r="I128" s="169"/>
      <c r="J128" s="18">
        <f>SUM(J117:J127)</f>
        <v>59</v>
      </c>
      <c r="K128" s="18">
        <f>SUM(K117:K127)</f>
        <v>17</v>
      </c>
      <c r="L128" s="18">
        <f>SUM(L117:L127)</f>
        <v>10</v>
      </c>
      <c r="M128" s="18">
        <f>SUM(M117:M127)</f>
        <v>4</v>
      </c>
      <c r="N128" s="18">
        <f>SUM(N117:N127)</f>
        <v>31</v>
      </c>
      <c r="O128" s="18">
        <f>SUM(O117:O127)</f>
        <v>76</v>
      </c>
      <c r="P128" s="18">
        <f>SUM(P117:P127)</f>
        <v>107</v>
      </c>
      <c r="Q128" s="16">
        <f>COUNTIF(Q117:Q127,"E")</f>
        <v>10</v>
      </c>
      <c r="R128" s="16">
        <f>COUNTIF(R117:R127,"C")</f>
        <v>1</v>
      </c>
      <c r="S128" s="16">
        <f>COUNTIF(S117:S127,"VP")</f>
        <v>0</v>
      </c>
      <c r="T128" s="13"/>
    </row>
    <row r="129" spans="1:20" ht="18.75" customHeight="1" x14ac:dyDescent="0.2">
      <c r="A129" s="138" t="s">
        <v>63</v>
      </c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39"/>
    </row>
    <row r="130" spans="1:20" x14ac:dyDescent="0.2">
      <c r="A130" s="27" t="str">
        <f>IF(ISNA(INDEX($A$34:$T$93,MATCH($B130,$B$34:$B$93,0),1)),"",INDEX($A$34:$T$93,MATCH($B130,$B$34:$B$93,0),1))</f>
        <v>SMR0113</v>
      </c>
      <c r="B130" s="141" t="s">
        <v>139</v>
      </c>
      <c r="C130" s="141"/>
      <c r="D130" s="141"/>
      <c r="E130" s="141"/>
      <c r="F130" s="141"/>
      <c r="G130" s="141"/>
      <c r="H130" s="141"/>
      <c r="I130" s="141"/>
      <c r="J130" s="14">
        <f>IF(ISNA(INDEX($A$34:$T$93,MATCH($B130,$B$34:$B$93,0),10)),"",INDEX($A$34:$T$93,MATCH($B130,$B$34:$B$93,0),10))</f>
        <v>5</v>
      </c>
      <c r="K130" s="14">
        <f>IF(ISNA(INDEX($A$34:$T$93,MATCH($B130,$B$34:$B$93,0),11)),"",INDEX($A$34:$T$93,MATCH($B130,$B$34:$B$93,0),11))</f>
        <v>0</v>
      </c>
      <c r="L130" s="14">
        <f>IF(ISNA(INDEX($A$34:$T$93,MATCH($B130,$B$34:$B$93,0),12)),"",INDEX($A$34:$T$93,MATCH($B130,$B$34:$B$93,0),12))</f>
        <v>0</v>
      </c>
      <c r="M130" s="14">
        <f>IF(ISNA(INDEX($A$34:$T$93,MATCH($B130,$B$34:$B$93,0),13)),"",INDEX($A$34:$T$93,MATCH($B130,$B$34:$B$93,0),13))</f>
        <v>5</v>
      </c>
      <c r="N130" s="14">
        <f>IF(ISNA(INDEX($A$34:$T$93,MATCH($B130,$B$34:$B$93,0),14)),"",INDEX($A$34:$T$93,MATCH($B130,$B$34:$B$93,0),14))</f>
        <v>5</v>
      </c>
      <c r="O130" s="14">
        <f>IF(ISNA(INDEX($A$34:$T$93,MATCH($B130,$B$34:$B$93,0),15)),"",INDEX($A$34:$T$93,MATCH($B130,$B$34:$B$93,0),15))</f>
        <v>5</v>
      </c>
      <c r="P130" s="14">
        <f>IF(ISNA(INDEX($A$34:$T$93,MATCH($B130,$B$34:$B$93,0),16)),"",INDEX($A$34:$T$93,MATCH($B130,$B$34:$B$93,0),16))</f>
        <v>10</v>
      </c>
      <c r="Q130" s="23">
        <f>IF(ISNA(INDEX($A$34:$T$93,MATCH($B130,$B$34:$B$93,0),17)),"",INDEX($A$34:$T$93,MATCH($B130,$B$34:$B$93,0),17))</f>
        <v>0</v>
      </c>
      <c r="R130" s="23" t="str">
        <f>IF(ISNA(INDEX($A$34:$T$93,MATCH($B130,$B$34:$B$93,0),18)),"",INDEX($A$34:$T$93,MATCH($B130,$B$34:$B$93,0),18))</f>
        <v>C</v>
      </c>
      <c r="S130" s="23">
        <f>IF(ISNA(INDEX($A$34:$T$93,MATCH($B130,$B$34:$B$93,0),19)),"",INDEX($A$34:$T$93,MATCH($B130,$B$34:$B$93,0),19))</f>
        <v>0</v>
      </c>
      <c r="T130" s="15" t="s">
        <v>38</v>
      </c>
    </row>
    <row r="131" spans="1:20" x14ac:dyDescent="0.2">
      <c r="A131" s="27" t="str">
        <f>IF(ISNA(INDEX($A$34:$T$93,MATCH($B131,$B$34:$B$93,0),1)),"",INDEX($A$34:$T$93,MATCH($B131,$B$34:$B$93,0),1))</f>
        <v>SMR0190</v>
      </c>
      <c r="B131" s="141" t="s">
        <v>140</v>
      </c>
      <c r="C131" s="141"/>
      <c r="D131" s="141"/>
      <c r="E131" s="141"/>
      <c r="F131" s="141"/>
      <c r="G131" s="141"/>
      <c r="H131" s="141"/>
      <c r="I131" s="141"/>
      <c r="J131" s="14">
        <f>IF(ISNA(INDEX($A$34:$T$93,MATCH($B131,$B$34:$B$93,0),10)),"",INDEX($A$34:$T$93,MATCH($B131,$B$34:$B$93,0),10))</f>
        <v>5</v>
      </c>
      <c r="K131" s="14">
        <f>IF(ISNA(INDEX($A$34:$T$93,MATCH($B131,$B$34:$B$93,0),11)),"",INDEX($A$34:$T$93,MATCH($B131,$B$34:$B$93,0),11))</f>
        <v>2</v>
      </c>
      <c r="L131" s="14">
        <f>IF(ISNA(INDEX($A$34:$T$93,MATCH($B131,$B$34:$B$93,0),12)),"",INDEX($A$34:$T$93,MATCH($B131,$B$34:$B$93,0),12))</f>
        <v>1</v>
      </c>
      <c r="M131" s="14">
        <f>IF(ISNA(INDEX($A$34:$T$93,MATCH($B131,$B$34:$B$93,0),13)),"",INDEX($A$34:$T$93,MATCH($B131,$B$34:$B$93,0),13))</f>
        <v>0</v>
      </c>
      <c r="N131" s="14">
        <f>IF(ISNA(INDEX($A$34:$T$93,MATCH($B131,$B$34:$B$93,0),14)),"",INDEX($A$34:$T$93,MATCH($B131,$B$34:$B$93,0),14))</f>
        <v>3</v>
      </c>
      <c r="O131" s="14">
        <f>IF(ISNA(INDEX($A$34:$T$93,MATCH($B131,$B$34:$B$93,0),15)),"",INDEX($A$34:$T$93,MATCH($B131,$B$34:$B$93,0),15))</f>
        <v>7</v>
      </c>
      <c r="P131" s="14">
        <f>IF(ISNA(INDEX($A$34:$T$93,MATCH($B131,$B$34:$B$93,0),16)),"",INDEX($A$34:$T$93,MATCH($B131,$B$34:$B$93,0),16))</f>
        <v>10</v>
      </c>
      <c r="Q131" s="23">
        <f>IF(ISNA(INDEX($A$34:$T$93,MATCH($B131,$B$34:$B$93,0),17)),"",INDEX($A$34:$T$93,MATCH($B131,$B$34:$B$93,0),17))</f>
        <v>0</v>
      </c>
      <c r="R131" s="23" t="str">
        <f>IF(ISNA(INDEX($A$34:$T$93,MATCH($B131,$B$34:$B$93,0),18)),"",INDEX($A$34:$T$93,MATCH($B131,$B$34:$B$93,0),18))</f>
        <v>C</v>
      </c>
      <c r="S131" s="23">
        <f>IF(ISNA(INDEX($A$34:$T$93,MATCH($B131,$B$34:$B$93,0),19)),"",INDEX($A$34:$T$93,MATCH($B131,$B$34:$B$93,0),19))</f>
        <v>0</v>
      </c>
      <c r="T131" s="15" t="s">
        <v>38</v>
      </c>
    </row>
    <row r="132" spans="1:20" x14ac:dyDescent="0.2">
      <c r="A132" s="27" t="str">
        <f>IF(ISNA(INDEX($A$34:$T$93,MATCH($B132,$B$34:$B$93,0),1)),"",INDEX($A$34:$T$93,MATCH($B132,$B$34:$B$93,0),1))</f>
        <v>SMR0181</v>
      </c>
      <c r="B132" s="141" t="s">
        <v>145</v>
      </c>
      <c r="C132" s="141"/>
      <c r="D132" s="141"/>
      <c r="E132" s="141"/>
      <c r="F132" s="141"/>
      <c r="G132" s="141"/>
      <c r="H132" s="141"/>
      <c r="I132" s="141"/>
      <c r="J132" s="14">
        <f>IF(ISNA(INDEX($A$34:$T$93,MATCH($B132,$B$34:$B$93,0),10)),"",INDEX($A$34:$T$93,MATCH($B132,$B$34:$B$93,0),10))</f>
        <v>4</v>
      </c>
      <c r="K132" s="14">
        <f>IF(ISNA(INDEX($A$34:$T$93,MATCH($B132,$B$34:$B$93,0),11)),"",INDEX($A$34:$T$93,MATCH($B132,$B$34:$B$93,0),11))</f>
        <v>0</v>
      </c>
      <c r="L132" s="14">
        <f>IF(ISNA(INDEX($A$34:$T$93,MATCH($B132,$B$34:$B$93,0),12)),"",INDEX($A$34:$T$93,MATCH($B132,$B$34:$B$93,0),12))</f>
        <v>0</v>
      </c>
      <c r="M132" s="14">
        <f>IF(ISNA(INDEX($A$34:$T$93,MATCH($B132,$B$34:$B$93,0),13)),"",INDEX($A$34:$T$93,MATCH($B132,$B$34:$B$93,0),13))</f>
        <v>2</v>
      </c>
      <c r="N132" s="14">
        <f>IF(ISNA(INDEX($A$34:$T$93,MATCH($B132,$B$34:$B$93,0),14)),"",INDEX($A$34:$T$93,MATCH($B132,$B$34:$B$93,0),14))</f>
        <v>2</v>
      </c>
      <c r="O132" s="14">
        <f>IF(ISNA(INDEX($A$34:$T$93,MATCH($B132,$B$34:$B$93,0),15)),"",INDEX($A$34:$T$93,MATCH($B132,$B$34:$B$93,0),15))</f>
        <v>6</v>
      </c>
      <c r="P132" s="14">
        <f>IF(ISNA(INDEX($A$34:$T$93,MATCH($B132,$B$34:$B$93,0),16)),"",INDEX($A$34:$T$93,MATCH($B132,$B$34:$B$93,0),16))</f>
        <v>8</v>
      </c>
      <c r="Q132" s="23">
        <f>IF(ISNA(INDEX($A$34:$T$93,MATCH($B132,$B$34:$B$93,0),17)),"",INDEX($A$34:$T$93,MATCH($B132,$B$34:$B$93,0),17))</f>
        <v>0</v>
      </c>
      <c r="R132" s="23">
        <f>IF(ISNA(INDEX($A$34:$T$93,MATCH($B132,$B$34:$B$93,0),18)),"",INDEX($A$34:$T$93,MATCH($B132,$B$34:$B$93,0),18))</f>
        <v>0</v>
      </c>
      <c r="S132" s="23" t="str">
        <f>IF(ISNA(INDEX($A$34:$T$93,MATCH($B132,$B$34:$B$93,0),19)),"",INDEX($A$34:$T$93,MATCH($B132,$B$34:$B$93,0),19))</f>
        <v>VP</v>
      </c>
      <c r="T132" s="15" t="s">
        <v>38</v>
      </c>
    </row>
    <row r="133" spans="1:20" s="50" customFormat="1" ht="15" x14ac:dyDescent="0.2">
      <c r="A133" s="27"/>
      <c r="B133" s="173"/>
      <c r="C133" s="174"/>
      <c r="D133" s="174"/>
      <c r="E133" s="174"/>
      <c r="F133" s="174"/>
      <c r="G133" s="174"/>
      <c r="H133" s="174"/>
      <c r="I133" s="175"/>
      <c r="J133" s="64"/>
      <c r="K133" s="64"/>
      <c r="L133" s="64"/>
      <c r="M133" s="64"/>
      <c r="N133" s="15"/>
      <c r="O133" s="65"/>
      <c r="P133" s="65"/>
      <c r="Q133" s="66"/>
      <c r="R133" s="64"/>
      <c r="S133" s="67"/>
      <c r="T133" s="15"/>
    </row>
    <row r="134" spans="1:20" x14ac:dyDescent="0.2">
      <c r="A134" s="27" t="str">
        <f>IF(ISNA(INDEX($A$34:$T$93,MATCH($B134,$B$34:$B$93,0),1)),"",INDEX($A$34:$T$93,MATCH($B134,$B$34:$B$93,0),1))</f>
        <v/>
      </c>
      <c r="B134" s="141"/>
      <c r="C134" s="141"/>
      <c r="D134" s="141"/>
      <c r="E134" s="141"/>
      <c r="F134" s="141"/>
      <c r="G134" s="141"/>
      <c r="H134" s="141"/>
      <c r="I134" s="141"/>
      <c r="J134" s="14" t="str">
        <f>IF(ISNA(INDEX($A$34:$T$93,MATCH($B134,$B$34:$B$93,0),10)),"",INDEX($A$34:$T$93,MATCH($B134,$B$34:$B$93,0),10))</f>
        <v/>
      </c>
      <c r="K134" s="14" t="str">
        <f>IF(ISNA(INDEX($A$34:$T$93,MATCH($B134,$B$34:$B$93,0),11)),"",INDEX($A$34:$T$93,MATCH($B134,$B$34:$B$93,0),11))</f>
        <v/>
      </c>
      <c r="L134" s="14" t="str">
        <f>IF(ISNA(INDEX($A$34:$T$93,MATCH($B134,$B$34:$B$93,0),12)),"",INDEX($A$34:$T$93,MATCH($B134,$B$34:$B$93,0),12))</f>
        <v/>
      </c>
      <c r="M134" s="14" t="str">
        <f>IF(ISNA(INDEX($A$34:$T$93,MATCH($B134,$B$34:$B$93,0),13)),"",INDEX($A$34:$T$93,MATCH($B134,$B$34:$B$93,0),13))</f>
        <v/>
      </c>
      <c r="N134" s="14" t="str">
        <f>IF(ISNA(INDEX($A$34:$T$93,MATCH($B134,$B$34:$B$93,0),14)),"",INDEX($A$34:$T$93,MATCH($B134,$B$34:$B$93,0),14))</f>
        <v/>
      </c>
      <c r="O134" s="14" t="str">
        <f>IF(ISNA(INDEX($A$34:$T$93,MATCH($B134,$B$34:$B$93,0),15)),"",INDEX($A$34:$T$93,MATCH($B134,$B$34:$B$93,0),15))</f>
        <v/>
      </c>
      <c r="P134" s="14" t="str">
        <f>IF(ISNA(INDEX($A$34:$T$93,MATCH($B134,$B$34:$B$93,0),16)),"",INDEX($A$34:$T$93,MATCH($B134,$B$34:$B$93,0),16))</f>
        <v/>
      </c>
      <c r="Q134" s="23" t="str">
        <f>IF(ISNA(INDEX($A$34:$T$93,MATCH($B134,$B$34:$B$93,0),17)),"",INDEX($A$34:$T$93,MATCH($B134,$B$34:$B$93,0),17))</f>
        <v/>
      </c>
      <c r="R134" s="23" t="str">
        <f>IF(ISNA(INDEX($A$34:$T$93,MATCH($B134,$B$34:$B$93,0),18)),"",INDEX($A$34:$T$93,MATCH($B134,$B$34:$B$93,0),18))</f>
        <v/>
      </c>
      <c r="S134" s="23" t="str">
        <f>IF(ISNA(INDEX($A$34:$T$93,MATCH($B134,$B$34:$B$93,0),19)),"",INDEX($A$34:$T$93,MATCH($B134,$B$34:$B$93,0),19))</f>
        <v/>
      </c>
      <c r="T134" s="15" t="s">
        <v>38</v>
      </c>
    </row>
    <row r="135" spans="1:20" x14ac:dyDescent="0.2">
      <c r="A135" s="16" t="s">
        <v>25</v>
      </c>
      <c r="B135" s="140"/>
      <c r="C135" s="140"/>
      <c r="D135" s="140"/>
      <c r="E135" s="140"/>
      <c r="F135" s="140"/>
      <c r="G135" s="140"/>
      <c r="H135" s="140"/>
      <c r="I135" s="140"/>
      <c r="J135" s="18">
        <f t="shared" ref="J135:P135" si="36">SUM(J130:J134)</f>
        <v>14</v>
      </c>
      <c r="K135" s="18">
        <f t="shared" si="36"/>
        <v>2</v>
      </c>
      <c r="L135" s="18">
        <f t="shared" si="36"/>
        <v>1</v>
      </c>
      <c r="M135" s="18">
        <f t="shared" si="36"/>
        <v>7</v>
      </c>
      <c r="N135" s="18">
        <f t="shared" si="36"/>
        <v>10</v>
      </c>
      <c r="O135" s="18">
        <f t="shared" si="36"/>
        <v>18</v>
      </c>
      <c r="P135" s="18">
        <f t="shared" si="36"/>
        <v>28</v>
      </c>
      <c r="Q135" s="16">
        <f>COUNTIF(Q130:Q134,"E")</f>
        <v>0</v>
      </c>
      <c r="R135" s="16">
        <f>COUNTIF(R130:R134,"C")</f>
        <v>2</v>
      </c>
      <c r="S135" s="16">
        <f>COUNTIF(S130:S134,"VP")</f>
        <v>1</v>
      </c>
      <c r="T135" s="17"/>
    </row>
    <row r="136" spans="1:20" ht="30.75" customHeight="1" x14ac:dyDescent="0.2">
      <c r="A136" s="142" t="s">
        <v>73</v>
      </c>
      <c r="B136" s="143"/>
      <c r="C136" s="143"/>
      <c r="D136" s="143"/>
      <c r="E136" s="143"/>
      <c r="F136" s="143"/>
      <c r="G136" s="143"/>
      <c r="H136" s="143"/>
      <c r="I136" s="144"/>
      <c r="J136" s="18">
        <f t="shared" ref="J136:S136" si="37">SUM(J128,J135)</f>
        <v>73</v>
      </c>
      <c r="K136" s="18">
        <f t="shared" si="37"/>
        <v>19</v>
      </c>
      <c r="L136" s="18">
        <f t="shared" si="37"/>
        <v>11</v>
      </c>
      <c r="M136" s="18">
        <f t="shared" si="37"/>
        <v>11</v>
      </c>
      <c r="N136" s="18">
        <f t="shared" si="37"/>
        <v>41</v>
      </c>
      <c r="O136" s="18">
        <f t="shared" si="37"/>
        <v>94</v>
      </c>
      <c r="P136" s="18">
        <f t="shared" si="37"/>
        <v>135</v>
      </c>
      <c r="Q136" s="18">
        <f t="shared" si="37"/>
        <v>10</v>
      </c>
      <c r="R136" s="18">
        <f t="shared" si="37"/>
        <v>3</v>
      </c>
      <c r="S136" s="18">
        <f t="shared" si="37"/>
        <v>1</v>
      </c>
      <c r="T136" s="73">
        <v>0.65229999999999999</v>
      </c>
    </row>
    <row r="137" spans="1:20" ht="15.75" customHeight="1" x14ac:dyDescent="0.2">
      <c r="A137" s="151" t="s">
        <v>48</v>
      </c>
      <c r="B137" s="152"/>
      <c r="C137" s="152"/>
      <c r="D137" s="152"/>
      <c r="E137" s="152"/>
      <c r="F137" s="152"/>
      <c r="G137" s="152"/>
      <c r="H137" s="152"/>
      <c r="I137" s="152"/>
      <c r="J137" s="153"/>
      <c r="K137" s="18">
        <f t="shared" ref="K137:P137" si="38">K128*14+K135*12</f>
        <v>262</v>
      </c>
      <c r="L137" s="18">
        <f t="shared" si="38"/>
        <v>152</v>
      </c>
      <c r="M137" s="18">
        <f t="shared" si="38"/>
        <v>140</v>
      </c>
      <c r="N137" s="18">
        <f t="shared" si="38"/>
        <v>554</v>
      </c>
      <c r="O137" s="18">
        <f t="shared" si="38"/>
        <v>1280</v>
      </c>
      <c r="P137" s="18">
        <f t="shared" si="38"/>
        <v>1834</v>
      </c>
      <c r="Q137" s="157"/>
      <c r="R137" s="158"/>
      <c r="S137" s="158"/>
      <c r="T137" s="159"/>
    </row>
    <row r="138" spans="1:20" ht="17.25" customHeight="1" x14ac:dyDescent="0.2">
      <c r="A138" s="154"/>
      <c r="B138" s="155"/>
      <c r="C138" s="155"/>
      <c r="D138" s="155"/>
      <c r="E138" s="155"/>
      <c r="F138" s="155"/>
      <c r="G138" s="155"/>
      <c r="H138" s="155"/>
      <c r="I138" s="155"/>
      <c r="J138" s="156"/>
      <c r="K138" s="145">
        <f>SUM(K137:M137)</f>
        <v>554</v>
      </c>
      <c r="L138" s="146"/>
      <c r="M138" s="147"/>
      <c r="N138" s="148">
        <f>SUM(N137:O137)</f>
        <v>1834</v>
      </c>
      <c r="O138" s="149"/>
      <c r="P138" s="150"/>
      <c r="Q138" s="160"/>
      <c r="R138" s="161"/>
      <c r="S138" s="161"/>
      <c r="T138" s="162"/>
    </row>
    <row r="139" spans="1:20" ht="8.25" customHeight="1" x14ac:dyDescent="0.2"/>
    <row r="140" spans="1:20" ht="12.75" customHeight="1" x14ac:dyDescent="0.2"/>
    <row r="141" spans="1:20" ht="23.25" customHeight="1" x14ac:dyDescent="0.2">
      <c r="A141" s="140" t="s">
        <v>67</v>
      </c>
      <c r="B141" s="170"/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</row>
    <row r="142" spans="1:20" ht="26.25" customHeight="1" x14ac:dyDescent="0.2">
      <c r="A142" s="140" t="s">
        <v>27</v>
      </c>
      <c r="B142" s="140" t="s">
        <v>26</v>
      </c>
      <c r="C142" s="140"/>
      <c r="D142" s="140"/>
      <c r="E142" s="140"/>
      <c r="F142" s="140"/>
      <c r="G142" s="140"/>
      <c r="H142" s="140"/>
      <c r="I142" s="140"/>
      <c r="J142" s="171" t="s">
        <v>40</v>
      </c>
      <c r="K142" s="171" t="s">
        <v>24</v>
      </c>
      <c r="L142" s="171"/>
      <c r="M142" s="171"/>
      <c r="N142" s="171" t="s">
        <v>41</v>
      </c>
      <c r="O142" s="171"/>
      <c r="P142" s="171"/>
      <c r="Q142" s="171" t="s">
        <v>23</v>
      </c>
      <c r="R142" s="171"/>
      <c r="S142" s="171"/>
      <c r="T142" s="171" t="s">
        <v>22</v>
      </c>
    </row>
    <row r="143" spans="1:20" x14ac:dyDescent="0.2">
      <c r="A143" s="140"/>
      <c r="B143" s="140"/>
      <c r="C143" s="140"/>
      <c r="D143" s="140"/>
      <c r="E143" s="140"/>
      <c r="F143" s="140"/>
      <c r="G143" s="140"/>
      <c r="H143" s="140"/>
      <c r="I143" s="140"/>
      <c r="J143" s="171"/>
      <c r="K143" s="24" t="s">
        <v>28</v>
      </c>
      <c r="L143" s="24" t="s">
        <v>29</v>
      </c>
      <c r="M143" s="24" t="s">
        <v>30</v>
      </c>
      <c r="N143" s="24" t="s">
        <v>34</v>
      </c>
      <c r="O143" s="24" t="s">
        <v>7</v>
      </c>
      <c r="P143" s="24" t="s">
        <v>31</v>
      </c>
      <c r="Q143" s="24" t="s">
        <v>32</v>
      </c>
      <c r="R143" s="24" t="s">
        <v>28</v>
      </c>
      <c r="S143" s="24" t="s">
        <v>33</v>
      </c>
      <c r="T143" s="171"/>
    </row>
    <row r="144" spans="1:20" ht="18.75" customHeight="1" x14ac:dyDescent="0.2">
      <c r="A144" s="138" t="s">
        <v>62</v>
      </c>
      <c r="B144" s="166"/>
      <c r="C144" s="166"/>
      <c r="D144" s="166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39"/>
    </row>
    <row r="145" spans="1:21" x14ac:dyDescent="0.2">
      <c r="A145" s="27" t="str">
        <f>IF(ISNA(INDEX($A$34:$T$93,MATCH($B145,$B$34:$B$93,0),1)),"",INDEX($A$34:$T$93,MATCH($B145,$B$34:$B$93,0),1))</f>
        <v>SME0146</v>
      </c>
      <c r="B145" s="141" t="s">
        <v>118</v>
      </c>
      <c r="C145" s="141"/>
      <c r="D145" s="141"/>
      <c r="E145" s="141"/>
      <c r="F145" s="141"/>
      <c r="G145" s="141"/>
      <c r="H145" s="141"/>
      <c r="I145" s="141"/>
      <c r="J145" s="14">
        <f>IF(ISNA(INDEX($A$34:$T$93,MATCH($B145,$B$34:$B$93,0),10)),"",INDEX($A$34:$T$93,MATCH($B145,$B$34:$B$93,0),10))</f>
        <v>6</v>
      </c>
      <c r="K145" s="14">
        <f>IF(ISNA(INDEX($A$34:$T$93,MATCH($B145,$B$34:$B$93,0),11)),"",INDEX($A$34:$T$93,MATCH($B145,$B$34:$B$93,0),11))</f>
        <v>1</v>
      </c>
      <c r="L145" s="14">
        <f>IF(ISNA(INDEX($A$34:$T$93,MATCH($B145,$B$34:$B$93,0),12)),"",INDEX($A$34:$T$93,MATCH($B145,$B$34:$B$93,0),12))</f>
        <v>2</v>
      </c>
      <c r="M145" s="14">
        <f>IF(ISNA(INDEX($A$34:$T$93,MATCH($B145,$B$34:$B$93,0),13)),"",INDEX($A$34:$T$93,MATCH($B145,$B$34:$B$93,0),13))</f>
        <v>0</v>
      </c>
      <c r="N145" s="14">
        <f>IF(ISNA(INDEX($A$34:$T$93,MATCH($B145,$B$34:$B$93,0),14)),"",INDEX($A$34:$T$93,MATCH($B145,$B$34:$B$93,0),14))</f>
        <v>3</v>
      </c>
      <c r="O145" s="14">
        <f>IF(ISNA(INDEX($A$34:$T$93,MATCH($B145,$B$34:$B$93,0),15)),"",INDEX($A$34:$T$93,MATCH($B145,$B$34:$B$93,0),15))</f>
        <v>8</v>
      </c>
      <c r="P145" s="14">
        <f>IF(ISNA(INDEX($A$34:$T$93,MATCH($B145,$B$34:$B$93,0),16)),"",INDEX($A$34:$T$93,MATCH($B145,$B$34:$B$93,0),16))</f>
        <v>11</v>
      </c>
      <c r="Q145" s="23" t="str">
        <f>IF(ISNA(INDEX($A$34:$T$93,MATCH($B145,$B$34:$B$93,0),17)),"",INDEX($A$34:$T$93,MATCH($B145,$B$34:$B$93,0),17))</f>
        <v>E</v>
      </c>
      <c r="R145" s="23">
        <f>IF(ISNA(INDEX($A$34:$T$93,MATCH($B145,$B$34:$B$93,0),18)),"",INDEX($A$34:$T$93,MATCH($B145,$B$34:$B$93,0),18))</f>
        <v>0</v>
      </c>
      <c r="S145" s="23">
        <f>IF(ISNA(INDEX($A$34:$T$93,MATCH($B145,$B$34:$B$93,0),19)),"",INDEX($A$34:$T$93,MATCH($B145,$B$34:$B$93,0),19))</f>
        <v>0</v>
      </c>
      <c r="T145" s="13" t="s">
        <v>39</v>
      </c>
    </row>
    <row r="146" spans="1:21" x14ac:dyDescent="0.2">
      <c r="A146" s="27" t="str">
        <f>IF(ISNA(INDEX($A$34:$T$93,MATCH($B146,$B$34:$B$93,0),1)),"",INDEX($A$34:$T$93,MATCH($B146,$B$34:$B$93,0),1))</f>
        <v>SMR0166</v>
      </c>
      <c r="B146" s="141" t="s">
        <v>133</v>
      </c>
      <c r="C146" s="141"/>
      <c r="D146" s="141"/>
      <c r="E146" s="141"/>
      <c r="F146" s="141"/>
      <c r="G146" s="141"/>
      <c r="H146" s="141"/>
      <c r="I146" s="141"/>
      <c r="J146" s="14">
        <f>IF(ISNA(INDEX($A$34:$T$93,MATCH($B146,$B$34:$B$93,0),10)),"",INDEX($A$34:$T$93,MATCH($B146,$B$34:$B$93,0),10))</f>
        <v>5</v>
      </c>
      <c r="K146" s="14">
        <f>IF(ISNA(INDEX($A$34:$T$93,MATCH($B146,$B$34:$B$93,0),11)),"",INDEX($A$34:$T$93,MATCH($B146,$B$34:$B$93,0),11))</f>
        <v>1</v>
      </c>
      <c r="L146" s="14">
        <f>IF(ISNA(INDEX($A$34:$T$93,MATCH($B146,$B$34:$B$93,0),12)),"",INDEX($A$34:$T$93,MATCH($B146,$B$34:$B$93,0),12))</f>
        <v>1</v>
      </c>
      <c r="M146" s="14">
        <f>IF(ISNA(INDEX($A$34:$T$93,MATCH($B146,$B$34:$B$93,0),13)),"",INDEX($A$34:$T$93,MATCH($B146,$B$34:$B$93,0),13))</f>
        <v>0</v>
      </c>
      <c r="N146" s="14">
        <f>IF(ISNA(INDEX($A$34:$T$93,MATCH($B146,$B$34:$B$93,0),14)),"",INDEX($A$34:$T$93,MATCH($B146,$B$34:$B$93,0),14))</f>
        <v>2</v>
      </c>
      <c r="O146" s="14">
        <f>IF(ISNA(INDEX($A$34:$T$93,MATCH($B146,$B$34:$B$93,0),15)),"",INDEX($A$34:$T$93,MATCH($B146,$B$34:$B$93,0),15))</f>
        <v>5</v>
      </c>
      <c r="P146" s="14">
        <f>IF(ISNA(INDEX($A$34:$T$93,MATCH($B146,$B$34:$B$93,0),16)),"",INDEX($A$34:$T$93,MATCH($B146,$B$34:$B$93,0),16))</f>
        <v>7</v>
      </c>
      <c r="Q146" s="23" t="str">
        <f>IF(ISNA(INDEX($A$34:$T$93,MATCH($B146,$B$34:$B$93,0),17)),"",INDEX($A$34:$T$93,MATCH($B146,$B$34:$B$93,0),17))</f>
        <v>E</v>
      </c>
      <c r="R146" s="23">
        <f>IF(ISNA(INDEX($A$34:$T$93,MATCH($B146,$B$34:$B$93,0),18)),"",INDEX($A$34:$T$93,MATCH($B146,$B$34:$B$93,0),18))</f>
        <v>0</v>
      </c>
      <c r="S146" s="23">
        <f>IF(ISNA(INDEX($A$34:$T$93,MATCH($B146,$B$34:$B$93,0),19)),"",INDEX($A$34:$T$93,MATCH($B146,$B$34:$B$93,0),19))</f>
        <v>0</v>
      </c>
      <c r="T146" s="13" t="s">
        <v>39</v>
      </c>
    </row>
    <row r="147" spans="1:21" x14ac:dyDescent="0.2">
      <c r="A147" s="16" t="s">
        <v>25</v>
      </c>
      <c r="B147" s="167"/>
      <c r="C147" s="168"/>
      <c r="D147" s="168"/>
      <c r="E147" s="168"/>
      <c r="F147" s="168"/>
      <c r="G147" s="168"/>
      <c r="H147" s="168"/>
      <c r="I147" s="169"/>
      <c r="J147" s="18">
        <f t="shared" ref="J147:P147" si="39">SUM(J145:J146)</f>
        <v>11</v>
      </c>
      <c r="K147" s="18">
        <f t="shared" si="39"/>
        <v>2</v>
      </c>
      <c r="L147" s="18">
        <f t="shared" si="39"/>
        <v>3</v>
      </c>
      <c r="M147" s="18">
        <f t="shared" si="39"/>
        <v>0</v>
      </c>
      <c r="N147" s="18">
        <f t="shared" si="39"/>
        <v>5</v>
      </c>
      <c r="O147" s="18">
        <f t="shared" si="39"/>
        <v>13</v>
      </c>
      <c r="P147" s="18">
        <f t="shared" si="39"/>
        <v>18</v>
      </c>
      <c r="Q147" s="16">
        <f>COUNTIF(Q145:Q146,"E")</f>
        <v>2</v>
      </c>
      <c r="R147" s="16">
        <f>COUNTIF(R145:R146,"C")</f>
        <v>0</v>
      </c>
      <c r="S147" s="16">
        <f>COUNTIF(S145:S146,"VP")</f>
        <v>0</v>
      </c>
      <c r="T147" s="13"/>
    </row>
    <row r="148" spans="1:21" ht="18" customHeight="1" x14ac:dyDescent="0.2">
      <c r="A148" s="138" t="s">
        <v>64</v>
      </c>
      <c r="B148" s="166"/>
      <c r="C148" s="166"/>
      <c r="D148" s="166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39"/>
    </row>
    <row r="149" spans="1:21" s="76" customFormat="1" x14ac:dyDescent="0.2">
      <c r="A149" s="27" t="str">
        <f>IF(ISNA(INDEX($A$34:$T$93,MATCH($B149,$B$34:$B$93,0),1)),"",INDEX($A$34:$T$93,MATCH($B149,$B$34:$B$93,0),1))</f>
        <v>SMR0018</v>
      </c>
      <c r="B149" s="141" t="s">
        <v>144</v>
      </c>
      <c r="C149" s="141"/>
      <c r="D149" s="141"/>
      <c r="E149" s="141"/>
      <c r="F149" s="141"/>
      <c r="G149" s="141"/>
      <c r="H149" s="141"/>
      <c r="I149" s="141"/>
      <c r="J149" s="14">
        <f>IF(ISNA(INDEX($A$34:$T$93,MATCH($B149,$B$34:$B$93,0),10)),"",INDEX($A$34:$T$93,MATCH($B149,$B$34:$B$93,0),10))</f>
        <v>6</v>
      </c>
      <c r="K149" s="14">
        <f>IF(ISNA(INDEX($A$34:$T$93,MATCH($B149,$B$34:$B$93,0),11)),"",INDEX($A$34:$T$93,MATCH($B149,$B$34:$B$93,0),11))</f>
        <v>2</v>
      </c>
      <c r="L149" s="14">
        <f>IF(ISNA(INDEX($A$34:$T$93,MATCH($B149,$B$34:$B$93,0),12)),"",INDEX($A$34:$T$93,MATCH($B149,$B$34:$B$93,0),12))</f>
        <v>1</v>
      </c>
      <c r="M149" s="14">
        <f>IF(ISNA(INDEX($A$34:$T$93,MATCH($B149,$B$34:$B$93,0),13)),"",INDEX($A$34:$T$93,MATCH($B149,$B$34:$B$93,0),13))</f>
        <v>0</v>
      </c>
      <c r="N149" s="14">
        <f>IF(ISNA(INDEX($A$34:$T$93,MATCH($B149,$B$34:$B$93,0),14)),"",INDEX($A$34:$T$93,MATCH($B149,$B$34:$B$93,0),14))</f>
        <v>3</v>
      </c>
      <c r="O149" s="14">
        <f>IF(ISNA(INDEX($A$34:$T$93,MATCH($B149,$B$34:$B$93,0),15)),"",INDEX($A$34:$T$93,MATCH($B149,$B$34:$B$93,0),15))</f>
        <v>10</v>
      </c>
      <c r="P149" s="14">
        <f>IF(ISNA(INDEX($A$34:$T$93,MATCH($B149,$B$34:$B$93,0),16)),"",INDEX($A$34:$T$93,MATCH($B149,$B$34:$B$93,0),16))</f>
        <v>13</v>
      </c>
      <c r="Q149" s="23" t="str">
        <f>IF(ISNA(INDEX($A$34:$T$93,MATCH($B149,$B$34:$B$93,0),17)),"",INDEX($A$34:$T$93,MATCH($B149,$B$34:$B$93,0),17))</f>
        <v>E</v>
      </c>
      <c r="R149" s="23">
        <f>IF(ISNA(INDEX($A$34:$T$93,MATCH($B149,$B$34:$B$93,0),18)),"",INDEX($A$34:$T$93,MATCH($B149,$B$34:$B$93,0),18))</f>
        <v>0</v>
      </c>
      <c r="S149" s="23">
        <f>IF(ISNA(INDEX($A$34:$T$93,MATCH($B149,$B$34:$B$93,0),19)),"",INDEX($A$34:$T$93,MATCH($B149,$B$34:$B$93,0),19))</f>
        <v>0</v>
      </c>
      <c r="T149" s="78" t="s">
        <v>39</v>
      </c>
    </row>
    <row r="150" spans="1:21" x14ac:dyDescent="0.2">
      <c r="A150" s="16" t="s">
        <v>25</v>
      </c>
      <c r="B150" s="140"/>
      <c r="C150" s="140"/>
      <c r="D150" s="140"/>
      <c r="E150" s="140"/>
      <c r="F150" s="140"/>
      <c r="G150" s="140"/>
      <c r="H150" s="140"/>
      <c r="I150" s="140"/>
      <c r="J150" s="18">
        <f t="shared" ref="J150:P150" si="40">SUM(J149:J149)</f>
        <v>6</v>
      </c>
      <c r="K150" s="18">
        <f t="shared" si="40"/>
        <v>2</v>
      </c>
      <c r="L150" s="18">
        <f t="shared" si="40"/>
        <v>1</v>
      </c>
      <c r="M150" s="18">
        <f t="shared" si="40"/>
        <v>0</v>
      </c>
      <c r="N150" s="18">
        <f t="shared" si="40"/>
        <v>3</v>
      </c>
      <c r="O150" s="18">
        <f t="shared" si="40"/>
        <v>10</v>
      </c>
      <c r="P150" s="18">
        <f t="shared" si="40"/>
        <v>13</v>
      </c>
      <c r="Q150" s="16">
        <f>COUNTIF(Q149:Q149,"E")</f>
        <v>1</v>
      </c>
      <c r="R150" s="16">
        <f>COUNTIF(R149:R149,"C")</f>
        <v>0</v>
      </c>
      <c r="S150" s="16">
        <f>COUNTIF(S149:S149,"VP")</f>
        <v>0</v>
      </c>
      <c r="T150" s="17"/>
    </row>
    <row r="151" spans="1:21" ht="25.5" customHeight="1" x14ac:dyDescent="0.2">
      <c r="A151" s="142" t="s">
        <v>73</v>
      </c>
      <c r="B151" s="143"/>
      <c r="C151" s="143"/>
      <c r="D151" s="143"/>
      <c r="E151" s="143"/>
      <c r="F151" s="143"/>
      <c r="G151" s="143"/>
      <c r="H151" s="143"/>
      <c r="I151" s="144"/>
      <c r="J151" s="18">
        <f t="shared" ref="J151:S151" si="41">SUM(J147,J150)</f>
        <v>17</v>
      </c>
      <c r="K151" s="18">
        <f t="shared" si="41"/>
        <v>4</v>
      </c>
      <c r="L151" s="18">
        <f t="shared" si="41"/>
        <v>4</v>
      </c>
      <c r="M151" s="18">
        <f t="shared" si="41"/>
        <v>0</v>
      </c>
      <c r="N151" s="18">
        <f t="shared" si="41"/>
        <v>8</v>
      </c>
      <c r="O151" s="18">
        <f t="shared" si="41"/>
        <v>23</v>
      </c>
      <c r="P151" s="18">
        <f t="shared" si="41"/>
        <v>31</v>
      </c>
      <c r="Q151" s="18">
        <f t="shared" si="41"/>
        <v>3</v>
      </c>
      <c r="R151" s="18">
        <f t="shared" si="41"/>
        <v>0</v>
      </c>
      <c r="S151" s="18">
        <f t="shared" si="41"/>
        <v>0</v>
      </c>
      <c r="T151" s="73">
        <v>0.13039999999999999</v>
      </c>
    </row>
    <row r="152" spans="1:21" ht="13.5" customHeight="1" x14ac:dyDescent="0.2">
      <c r="A152" s="151" t="s">
        <v>48</v>
      </c>
      <c r="B152" s="152"/>
      <c r="C152" s="152"/>
      <c r="D152" s="152"/>
      <c r="E152" s="152"/>
      <c r="F152" s="152"/>
      <c r="G152" s="152"/>
      <c r="H152" s="152"/>
      <c r="I152" s="152"/>
      <c r="J152" s="153"/>
      <c r="K152" s="18">
        <f t="shared" ref="K152:P152" si="42">K147*14+K150*12</f>
        <v>52</v>
      </c>
      <c r="L152" s="18">
        <f t="shared" si="42"/>
        <v>54</v>
      </c>
      <c r="M152" s="18">
        <f t="shared" si="42"/>
        <v>0</v>
      </c>
      <c r="N152" s="18">
        <f t="shared" si="42"/>
        <v>106</v>
      </c>
      <c r="O152" s="18">
        <f t="shared" si="42"/>
        <v>302</v>
      </c>
      <c r="P152" s="18">
        <f t="shared" si="42"/>
        <v>408</v>
      </c>
      <c r="Q152" s="157"/>
      <c r="R152" s="158"/>
      <c r="S152" s="158"/>
      <c r="T152" s="159"/>
    </row>
    <row r="153" spans="1:21" ht="16.5" customHeight="1" x14ac:dyDescent="0.2">
      <c r="A153" s="154"/>
      <c r="B153" s="155"/>
      <c r="C153" s="155"/>
      <c r="D153" s="155"/>
      <c r="E153" s="155"/>
      <c r="F153" s="155"/>
      <c r="G153" s="155"/>
      <c r="H153" s="155"/>
      <c r="I153" s="155"/>
      <c r="J153" s="156"/>
      <c r="K153" s="145">
        <f>SUM(K152:M152)</f>
        <v>106</v>
      </c>
      <c r="L153" s="146"/>
      <c r="M153" s="147"/>
      <c r="N153" s="148">
        <f>SUM(N152:O152)</f>
        <v>408</v>
      </c>
      <c r="O153" s="149"/>
      <c r="P153" s="150"/>
      <c r="Q153" s="160"/>
      <c r="R153" s="161"/>
      <c r="S153" s="161"/>
      <c r="T153" s="162"/>
    </row>
    <row r="154" spans="1:21" ht="8.25" customHeight="1" x14ac:dyDescent="0.2"/>
    <row r="155" spans="1:21" x14ac:dyDescent="0.2">
      <c r="B155" s="2"/>
      <c r="C155" s="2"/>
      <c r="D155" s="2"/>
      <c r="E155" s="2"/>
      <c r="F155" s="2"/>
      <c r="G155" s="2"/>
      <c r="M155" s="8"/>
      <c r="N155" s="8"/>
      <c r="O155" s="8"/>
      <c r="P155" s="8"/>
      <c r="Q155" s="8"/>
      <c r="R155" s="8"/>
      <c r="S155" s="8"/>
    </row>
    <row r="157" spans="1:21" x14ac:dyDescent="0.2">
      <c r="A157" s="163" t="s">
        <v>59</v>
      </c>
      <c r="B157" s="163"/>
    </row>
    <row r="158" spans="1:21" ht="12.75" customHeight="1" x14ac:dyDescent="0.2">
      <c r="A158" s="164" t="s">
        <v>27</v>
      </c>
      <c r="B158" s="244" t="s">
        <v>51</v>
      </c>
      <c r="C158" s="245"/>
      <c r="D158" s="245"/>
      <c r="E158" s="245"/>
      <c r="F158" s="245"/>
      <c r="G158" s="246"/>
      <c r="H158" s="244" t="s">
        <v>54</v>
      </c>
      <c r="I158" s="246"/>
      <c r="J158" s="117" t="s">
        <v>55</v>
      </c>
      <c r="K158" s="118"/>
      <c r="L158" s="118"/>
      <c r="M158" s="118"/>
      <c r="N158" s="118"/>
      <c r="O158" s="119"/>
      <c r="P158" s="244" t="s">
        <v>47</v>
      </c>
      <c r="Q158" s="246"/>
      <c r="R158" s="117" t="s">
        <v>56</v>
      </c>
      <c r="S158" s="118"/>
      <c r="T158" s="119"/>
      <c r="U158" s="49" t="s">
        <v>103</v>
      </c>
    </row>
    <row r="159" spans="1:21" x14ac:dyDescent="0.2">
      <c r="A159" s="165"/>
      <c r="B159" s="247"/>
      <c r="C159" s="248"/>
      <c r="D159" s="248"/>
      <c r="E159" s="248"/>
      <c r="F159" s="248"/>
      <c r="G159" s="249"/>
      <c r="H159" s="247"/>
      <c r="I159" s="249"/>
      <c r="J159" s="117" t="s">
        <v>34</v>
      </c>
      <c r="K159" s="119"/>
      <c r="L159" s="117" t="s">
        <v>7</v>
      </c>
      <c r="M159" s="119"/>
      <c r="N159" s="117" t="s">
        <v>31</v>
      </c>
      <c r="O159" s="119"/>
      <c r="P159" s="247"/>
      <c r="Q159" s="249"/>
      <c r="R159" s="33" t="s">
        <v>57</v>
      </c>
      <c r="S159" s="117" t="s">
        <v>58</v>
      </c>
      <c r="T159" s="119"/>
    </row>
    <row r="160" spans="1:21" ht="12.75" customHeight="1" x14ac:dyDescent="0.2">
      <c r="A160" s="33">
        <v>1</v>
      </c>
      <c r="B160" s="117" t="s">
        <v>52</v>
      </c>
      <c r="C160" s="118"/>
      <c r="D160" s="118"/>
      <c r="E160" s="118"/>
      <c r="F160" s="118"/>
      <c r="G160" s="119"/>
      <c r="H160" s="120">
        <f>J160</f>
        <v>816</v>
      </c>
      <c r="I160" s="121"/>
      <c r="J160" s="122">
        <f>SUM((N42+N53+N64)*14+(N75*12)-J161)</f>
        <v>816</v>
      </c>
      <c r="K160" s="123"/>
      <c r="L160" s="122">
        <f>SUM((O42+O53+O64)*14+(O75*12)-L161)</f>
        <v>2032</v>
      </c>
      <c r="M160" s="123"/>
      <c r="N160" s="124">
        <f>SUM(J160:M160)</f>
        <v>2848</v>
      </c>
      <c r="O160" s="125"/>
      <c r="P160" s="126">
        <f>H160/H162</f>
        <v>0.95104895104895104</v>
      </c>
      <c r="Q160" s="127"/>
      <c r="R160" s="34">
        <f>J42+J53-R161</f>
        <v>60</v>
      </c>
      <c r="S160" s="128">
        <f>J64+J75-S161</f>
        <v>55</v>
      </c>
      <c r="T160" s="129"/>
    </row>
    <row r="161" spans="1:34" ht="12.75" customHeight="1" x14ac:dyDescent="0.2">
      <c r="A161" s="33">
        <v>2</v>
      </c>
      <c r="B161" s="117" t="s">
        <v>53</v>
      </c>
      <c r="C161" s="118"/>
      <c r="D161" s="118"/>
      <c r="E161" s="118"/>
      <c r="F161" s="118"/>
      <c r="G161" s="119"/>
      <c r="H161" s="120">
        <f>J161</f>
        <v>42</v>
      </c>
      <c r="I161" s="121"/>
      <c r="J161" s="130">
        <f>N92</f>
        <v>42</v>
      </c>
      <c r="K161" s="131"/>
      <c r="L161" s="130">
        <f>O92</f>
        <v>84</v>
      </c>
      <c r="M161" s="131"/>
      <c r="N161" s="132">
        <f>SUM(J161:M161)</f>
        <v>126</v>
      </c>
      <c r="O161" s="133"/>
      <c r="P161" s="126">
        <f>H161/H162</f>
        <v>4.8951048951048952E-2</v>
      </c>
      <c r="Q161" s="127"/>
      <c r="R161" s="12">
        <v>0</v>
      </c>
      <c r="S161" s="134">
        <v>5</v>
      </c>
      <c r="T161" s="135"/>
      <c r="U161" s="256" t="str">
        <f>IF(N161=P92,"Corect","Nu corespunde cu tabelul de opționale")</f>
        <v>Corect</v>
      </c>
      <c r="V161" s="257"/>
      <c r="W161" s="257"/>
      <c r="X161" s="257"/>
    </row>
    <row r="162" spans="1:34" x14ac:dyDescent="0.2">
      <c r="A162" s="117" t="s">
        <v>25</v>
      </c>
      <c r="B162" s="118"/>
      <c r="C162" s="118"/>
      <c r="D162" s="118"/>
      <c r="E162" s="118"/>
      <c r="F162" s="118"/>
      <c r="G162" s="119"/>
      <c r="H162" s="136">
        <f>SUM(H160:I161)</f>
        <v>858</v>
      </c>
      <c r="I162" s="137"/>
      <c r="J162" s="136">
        <f>SUM(J160:K161)</f>
        <v>858</v>
      </c>
      <c r="K162" s="137"/>
      <c r="L162" s="138">
        <f>SUM(L160:M161)</f>
        <v>2116</v>
      </c>
      <c r="M162" s="139"/>
      <c r="N162" s="138">
        <f>SUM(N160:O161)</f>
        <v>2974</v>
      </c>
      <c r="O162" s="139"/>
      <c r="P162" s="251">
        <f>SUM(P160:Q161)</f>
        <v>1</v>
      </c>
      <c r="Q162" s="252"/>
      <c r="R162" s="35">
        <f>SUM(R160:R161)</f>
        <v>60</v>
      </c>
      <c r="S162" s="115">
        <f>SUM(S160:T161)</f>
        <v>60</v>
      </c>
      <c r="T162" s="116"/>
    </row>
    <row r="163" spans="1:34" s="48" customFormat="1" x14ac:dyDescent="0.2">
      <c r="A163" s="56"/>
      <c r="B163" s="56"/>
      <c r="C163" s="56"/>
      <c r="D163" s="56"/>
      <c r="E163" s="56"/>
      <c r="F163" s="56"/>
      <c r="G163" s="56"/>
      <c r="H163" s="57"/>
      <c r="I163" s="57"/>
      <c r="J163" s="57"/>
      <c r="K163" s="57"/>
      <c r="L163" s="58"/>
      <c r="M163" s="58"/>
      <c r="N163" s="58"/>
      <c r="O163" s="58"/>
      <c r="P163" s="59"/>
      <c r="Q163" s="59"/>
      <c r="R163" s="60"/>
      <c r="S163" s="60"/>
      <c r="T163" s="60"/>
    </row>
    <row r="164" spans="1:34" s="48" customFormat="1" x14ac:dyDescent="0.2">
      <c r="A164" s="56"/>
      <c r="B164" s="56"/>
      <c r="C164" s="56"/>
      <c r="D164" s="56"/>
      <c r="E164" s="56"/>
      <c r="F164" s="56"/>
      <c r="G164" s="56"/>
      <c r="H164" s="57"/>
      <c r="I164" s="57"/>
      <c r="J164" s="57"/>
      <c r="K164" s="57"/>
      <c r="L164" s="58"/>
      <c r="M164" s="58"/>
      <c r="N164" s="58"/>
      <c r="O164" s="58"/>
      <c r="P164" s="59"/>
      <c r="Q164" s="59"/>
      <c r="R164" s="60"/>
      <c r="S164" s="60"/>
      <c r="T164" s="60"/>
    </row>
    <row r="166" spans="1:34" x14ac:dyDescent="0.2">
      <c r="A166" s="178" t="s">
        <v>80</v>
      </c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</row>
    <row r="167" spans="1:34" x14ac:dyDescent="0.2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</row>
    <row r="168" spans="1:34" ht="12.75" customHeight="1" x14ac:dyDescent="0.2">
      <c r="A168" s="113" t="s">
        <v>74</v>
      </c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84" t="s">
        <v>104</v>
      </c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</row>
    <row r="169" spans="1:34" ht="27.75" customHeight="1" x14ac:dyDescent="0.2">
      <c r="A169" s="113" t="s">
        <v>27</v>
      </c>
      <c r="B169" s="113" t="s">
        <v>26</v>
      </c>
      <c r="C169" s="113"/>
      <c r="D169" s="113"/>
      <c r="E169" s="113"/>
      <c r="F169" s="113"/>
      <c r="G169" s="113"/>
      <c r="H169" s="113"/>
      <c r="I169" s="113"/>
      <c r="J169" s="176" t="s">
        <v>40</v>
      </c>
      <c r="K169" s="176" t="s">
        <v>24</v>
      </c>
      <c r="L169" s="176"/>
      <c r="M169" s="176"/>
      <c r="N169" s="176" t="s">
        <v>41</v>
      </c>
      <c r="O169" s="250"/>
      <c r="P169" s="250"/>
      <c r="Q169" s="176" t="s">
        <v>23</v>
      </c>
      <c r="R169" s="176"/>
      <c r="S169" s="176"/>
      <c r="T169" s="176" t="s">
        <v>22</v>
      </c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</row>
    <row r="170" spans="1:34" x14ac:dyDescent="0.2">
      <c r="A170" s="113"/>
      <c r="B170" s="113"/>
      <c r="C170" s="113"/>
      <c r="D170" s="113"/>
      <c r="E170" s="113"/>
      <c r="F170" s="113"/>
      <c r="G170" s="113"/>
      <c r="H170" s="113"/>
      <c r="I170" s="113"/>
      <c r="J170" s="176"/>
      <c r="K170" s="45" t="s">
        <v>28</v>
      </c>
      <c r="L170" s="45" t="s">
        <v>29</v>
      </c>
      <c r="M170" s="45" t="s">
        <v>30</v>
      </c>
      <c r="N170" s="45" t="s">
        <v>34</v>
      </c>
      <c r="O170" s="45" t="s">
        <v>7</v>
      </c>
      <c r="P170" s="45" t="s">
        <v>31</v>
      </c>
      <c r="Q170" s="45" t="s">
        <v>32</v>
      </c>
      <c r="R170" s="45" t="s">
        <v>28</v>
      </c>
      <c r="S170" s="45" t="s">
        <v>33</v>
      </c>
      <c r="T170" s="17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</row>
    <row r="171" spans="1:34" x14ac:dyDescent="0.2">
      <c r="A171" s="114" t="s">
        <v>75</v>
      </c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</row>
    <row r="172" spans="1:34" s="39" customFormat="1" x14ac:dyDescent="0.2">
      <c r="A172" s="40" t="s">
        <v>68</v>
      </c>
      <c r="B172" s="79" t="s">
        <v>81</v>
      </c>
      <c r="C172" s="79"/>
      <c r="D172" s="79"/>
      <c r="E172" s="79"/>
      <c r="F172" s="79"/>
      <c r="G172" s="79"/>
      <c r="H172" s="79"/>
      <c r="I172" s="79"/>
      <c r="J172" s="36">
        <v>5</v>
      </c>
      <c r="K172" s="36">
        <v>2</v>
      </c>
      <c r="L172" s="36">
        <v>1</v>
      </c>
      <c r="M172" s="36">
        <v>0</v>
      </c>
      <c r="N172" s="37">
        <f>K172+L172+M172</f>
        <v>3</v>
      </c>
      <c r="O172" s="37">
        <f>P172-N172</f>
        <v>6</v>
      </c>
      <c r="P172" s="37">
        <f>ROUND(PRODUCT(J172,25)/14,0)</f>
        <v>9</v>
      </c>
      <c r="Q172" s="36" t="s">
        <v>32</v>
      </c>
      <c r="R172" s="36"/>
      <c r="S172" s="38"/>
      <c r="T172" s="38" t="s">
        <v>37</v>
      </c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</row>
    <row r="173" spans="1:34" x14ac:dyDescent="0.2">
      <c r="A173" s="40" t="s">
        <v>69</v>
      </c>
      <c r="B173" s="79" t="s">
        <v>82</v>
      </c>
      <c r="C173" s="79"/>
      <c r="D173" s="79"/>
      <c r="E173" s="79"/>
      <c r="F173" s="79"/>
      <c r="G173" s="79"/>
      <c r="H173" s="79"/>
      <c r="I173" s="79"/>
      <c r="J173" s="36">
        <v>5</v>
      </c>
      <c r="K173" s="36">
        <v>2</v>
      </c>
      <c r="L173" s="36">
        <v>1</v>
      </c>
      <c r="M173" s="36">
        <v>0</v>
      </c>
      <c r="N173" s="37">
        <f>K173+L173+M173</f>
        <v>3</v>
      </c>
      <c r="O173" s="37">
        <f>P173-N173</f>
        <v>6</v>
      </c>
      <c r="P173" s="37">
        <f>ROUND(PRODUCT(J173,25)/14,0)</f>
        <v>9</v>
      </c>
      <c r="Q173" s="36" t="s">
        <v>32</v>
      </c>
      <c r="R173" s="36"/>
      <c r="S173" s="38"/>
      <c r="T173" s="38" t="s">
        <v>37</v>
      </c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</row>
    <row r="174" spans="1:34" x14ac:dyDescent="0.2">
      <c r="A174" s="87" t="s">
        <v>76</v>
      </c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9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</row>
    <row r="175" spans="1:34" ht="36" customHeight="1" x14ac:dyDescent="0.2">
      <c r="A175" s="40" t="s">
        <v>70</v>
      </c>
      <c r="B175" s="80" t="s">
        <v>95</v>
      </c>
      <c r="C175" s="90"/>
      <c r="D175" s="90"/>
      <c r="E175" s="90"/>
      <c r="F175" s="90"/>
      <c r="G175" s="90"/>
      <c r="H175" s="90"/>
      <c r="I175" s="91"/>
      <c r="J175" s="36">
        <v>5</v>
      </c>
      <c r="K175" s="36">
        <v>2</v>
      </c>
      <c r="L175" s="36">
        <v>1</v>
      </c>
      <c r="M175" s="36">
        <v>0</v>
      </c>
      <c r="N175" s="37">
        <f>K175+L175+M175</f>
        <v>3</v>
      </c>
      <c r="O175" s="37">
        <f>P175-N175</f>
        <v>6</v>
      </c>
      <c r="P175" s="37">
        <f>ROUND(PRODUCT(J175,25)/14,0)</f>
        <v>9</v>
      </c>
      <c r="Q175" s="36" t="s">
        <v>32</v>
      </c>
      <c r="R175" s="36"/>
      <c r="S175" s="38"/>
      <c r="T175" s="38" t="s">
        <v>83</v>
      </c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</row>
    <row r="176" spans="1:34" s="39" customFormat="1" ht="15" customHeight="1" x14ac:dyDescent="0.2">
      <c r="A176" s="40" t="s">
        <v>71</v>
      </c>
      <c r="B176" s="80" t="s">
        <v>96</v>
      </c>
      <c r="C176" s="90"/>
      <c r="D176" s="90"/>
      <c r="E176" s="90"/>
      <c r="F176" s="90"/>
      <c r="G176" s="90"/>
      <c r="H176" s="90"/>
      <c r="I176" s="91"/>
      <c r="J176" s="36">
        <v>5</v>
      </c>
      <c r="K176" s="36">
        <v>1</v>
      </c>
      <c r="L176" s="36">
        <v>2</v>
      </c>
      <c r="M176" s="36">
        <v>0</v>
      </c>
      <c r="N176" s="37">
        <f>K176+L176+M176</f>
        <v>3</v>
      </c>
      <c r="O176" s="37">
        <f>P176-N176</f>
        <v>6</v>
      </c>
      <c r="P176" s="37">
        <f>ROUND(PRODUCT(J176,25)/14,0)</f>
        <v>9</v>
      </c>
      <c r="Q176" s="36" t="s">
        <v>32</v>
      </c>
      <c r="R176" s="36"/>
      <c r="S176" s="38"/>
      <c r="T176" s="38" t="s">
        <v>84</v>
      </c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</row>
    <row r="177" spans="1:34" x14ac:dyDescent="0.2">
      <c r="A177" s="87" t="s">
        <v>77</v>
      </c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9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</row>
    <row r="178" spans="1:34" s="39" customFormat="1" ht="37.5" customHeight="1" x14ac:dyDescent="0.2">
      <c r="A178" s="40" t="s">
        <v>86</v>
      </c>
      <c r="B178" s="80" t="s">
        <v>85</v>
      </c>
      <c r="C178" s="81"/>
      <c r="D178" s="81"/>
      <c r="E178" s="81"/>
      <c r="F178" s="81"/>
      <c r="G178" s="81"/>
      <c r="H178" s="81"/>
      <c r="I178" s="82"/>
      <c r="J178" s="36">
        <v>5</v>
      </c>
      <c r="K178" s="36">
        <v>0</v>
      </c>
      <c r="L178" s="36">
        <v>0</v>
      </c>
      <c r="M178" s="36">
        <v>3</v>
      </c>
      <c r="N178" s="37">
        <f>K178+L178+M178</f>
        <v>3</v>
      </c>
      <c r="O178" s="37">
        <f>P178-N178</f>
        <v>6</v>
      </c>
      <c r="P178" s="37">
        <f>ROUND(PRODUCT(J178,25)/14,0)</f>
        <v>9</v>
      </c>
      <c r="Q178" s="36"/>
      <c r="R178" s="36" t="s">
        <v>28</v>
      </c>
      <c r="S178" s="38"/>
      <c r="T178" s="38" t="s">
        <v>83</v>
      </c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</row>
    <row r="179" spans="1:34" ht="18" customHeight="1" x14ac:dyDescent="0.2">
      <c r="A179" s="40" t="s">
        <v>87</v>
      </c>
      <c r="B179" s="80" t="s">
        <v>97</v>
      </c>
      <c r="C179" s="90"/>
      <c r="D179" s="90"/>
      <c r="E179" s="90"/>
      <c r="F179" s="90"/>
      <c r="G179" s="90"/>
      <c r="H179" s="90"/>
      <c r="I179" s="91"/>
      <c r="J179" s="36">
        <v>5</v>
      </c>
      <c r="K179" s="36">
        <v>1</v>
      </c>
      <c r="L179" s="36">
        <v>2</v>
      </c>
      <c r="M179" s="36">
        <v>0</v>
      </c>
      <c r="N179" s="37">
        <f>K179+L179+M179</f>
        <v>3</v>
      </c>
      <c r="O179" s="37">
        <f>P179-N179</f>
        <v>6</v>
      </c>
      <c r="P179" s="37">
        <f>ROUND(PRODUCT(J179,25)/14,0)</f>
        <v>9</v>
      </c>
      <c r="Q179" s="36" t="s">
        <v>32</v>
      </c>
      <c r="R179" s="36"/>
      <c r="S179" s="38"/>
      <c r="T179" s="38" t="s">
        <v>84</v>
      </c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</row>
    <row r="180" spans="1:34" x14ac:dyDescent="0.2">
      <c r="A180" s="92" t="s">
        <v>78</v>
      </c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4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</row>
    <row r="181" spans="1:34" ht="18.75" customHeight="1" x14ac:dyDescent="0.2">
      <c r="A181" s="40"/>
      <c r="B181" s="80" t="s">
        <v>72</v>
      </c>
      <c r="C181" s="90"/>
      <c r="D181" s="90"/>
      <c r="E181" s="90"/>
      <c r="F181" s="90"/>
      <c r="G181" s="90"/>
      <c r="H181" s="90"/>
      <c r="I181" s="91"/>
      <c r="J181" s="36">
        <v>5</v>
      </c>
      <c r="K181" s="36"/>
      <c r="L181" s="36"/>
      <c r="M181" s="36"/>
      <c r="N181" s="37"/>
      <c r="O181" s="37"/>
      <c r="P181" s="37"/>
      <c r="Q181" s="36"/>
      <c r="R181" s="36"/>
      <c r="S181" s="38"/>
      <c r="T181" s="41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</row>
    <row r="182" spans="1:34" ht="20.25" customHeight="1" x14ac:dyDescent="0.2">
      <c r="A182" s="95" t="s">
        <v>73</v>
      </c>
      <c r="B182" s="96"/>
      <c r="C182" s="96"/>
      <c r="D182" s="96"/>
      <c r="E182" s="96"/>
      <c r="F182" s="96"/>
      <c r="G182" s="96"/>
      <c r="H182" s="96"/>
      <c r="I182" s="97"/>
      <c r="J182" s="42">
        <f>SUM(J172:J173,J175:J176,J178:J179,J181)</f>
        <v>35</v>
      </c>
      <c r="K182" s="42">
        <f t="shared" ref="K182:P182" si="43">SUM(K172:K173,K175:K176,K178:K179,K181)</f>
        <v>8</v>
      </c>
      <c r="L182" s="42">
        <f t="shared" si="43"/>
        <v>7</v>
      </c>
      <c r="M182" s="42">
        <f t="shared" si="43"/>
        <v>3</v>
      </c>
      <c r="N182" s="42">
        <f t="shared" si="43"/>
        <v>18</v>
      </c>
      <c r="O182" s="42">
        <f t="shared" si="43"/>
        <v>36</v>
      </c>
      <c r="P182" s="42">
        <f t="shared" si="43"/>
        <v>54</v>
      </c>
      <c r="Q182" s="44">
        <f>COUNTIF(Q172:Q173,"E")+COUNTIF(Q175:Q176,"E")+COUNTIF(Q178:Q179,"E")+COUNTIF(Q181,"E")</f>
        <v>5</v>
      </c>
      <c r="R182" s="44">
        <f>COUNTIF(R172:R173,"C")+COUNTIF(R175:R176,"C")+COUNTIF(R178:R179,"C")+COUNTIF(R181,"C")</f>
        <v>1</v>
      </c>
      <c r="S182" s="44">
        <f>COUNTIF(S172:S173,"VP")+COUNTIF(S175:S176,"VP")+COUNTIF(S178:S179,"VP")+COUNTIF(S181,"VP")</f>
        <v>0</v>
      </c>
      <c r="T182" s="43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</row>
    <row r="183" spans="1:34" ht="20.25" customHeight="1" x14ac:dyDescent="0.2">
      <c r="A183" s="98" t="s">
        <v>48</v>
      </c>
      <c r="B183" s="99"/>
      <c r="C183" s="99"/>
      <c r="D183" s="99"/>
      <c r="E183" s="99"/>
      <c r="F183" s="99"/>
      <c r="G183" s="99"/>
      <c r="H183" s="99"/>
      <c r="I183" s="99"/>
      <c r="J183" s="100"/>
      <c r="K183" s="42">
        <f>SUM(K172:K173,K175:K176,K178:K179)*14</f>
        <v>112</v>
      </c>
      <c r="L183" s="42">
        <f t="shared" ref="L183:P183" si="44">SUM(L172:L173,L175:L176,L178:L179)*14</f>
        <v>98</v>
      </c>
      <c r="M183" s="42">
        <f t="shared" si="44"/>
        <v>42</v>
      </c>
      <c r="N183" s="42">
        <f t="shared" si="44"/>
        <v>252</v>
      </c>
      <c r="O183" s="42">
        <f t="shared" si="44"/>
        <v>504</v>
      </c>
      <c r="P183" s="42">
        <f t="shared" si="44"/>
        <v>756</v>
      </c>
      <c r="Q183" s="104"/>
      <c r="R183" s="105"/>
      <c r="S183" s="105"/>
      <c r="T183" s="10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</row>
    <row r="184" spans="1:34" ht="20.25" customHeight="1" x14ac:dyDescent="0.2">
      <c r="A184" s="101"/>
      <c r="B184" s="102"/>
      <c r="C184" s="102"/>
      <c r="D184" s="102"/>
      <c r="E184" s="102"/>
      <c r="F184" s="102"/>
      <c r="G184" s="102"/>
      <c r="H184" s="102"/>
      <c r="I184" s="102"/>
      <c r="J184" s="103"/>
      <c r="K184" s="110">
        <f>SUM(K183:M183)</f>
        <v>252</v>
      </c>
      <c r="L184" s="111"/>
      <c r="M184" s="112"/>
      <c r="N184" s="110">
        <f>SUM(N183:O183)</f>
        <v>756</v>
      </c>
      <c r="O184" s="111"/>
      <c r="P184" s="112"/>
      <c r="Q184" s="107"/>
      <c r="R184" s="108"/>
      <c r="S184" s="108"/>
      <c r="T184" s="109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</row>
    <row r="185" spans="1:34" x14ac:dyDescent="0.2"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</row>
    <row r="186" spans="1:34" x14ac:dyDescent="0.2">
      <c r="A186" s="83" t="s">
        <v>88</v>
      </c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</row>
    <row r="187" spans="1:34" x14ac:dyDescent="0.2">
      <c r="A187" s="83" t="s">
        <v>89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</row>
    <row r="188" spans="1:34" x14ac:dyDescent="0.2">
      <c r="A188" s="83" t="s">
        <v>90</v>
      </c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</row>
    <row r="189" spans="1:34" x14ac:dyDescent="0.2"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</row>
    <row r="190" spans="1:34" x14ac:dyDescent="0.2"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</row>
    <row r="191" spans="1:34" x14ac:dyDescent="0.2"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</row>
    <row r="192" spans="1:34" x14ac:dyDescent="0.2"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</row>
    <row r="193" spans="21:34" x14ac:dyDescent="0.2"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</row>
  </sheetData>
  <sheetProtection formatCells="0" formatRows="0" insertRows="0"/>
  <mergeCells count="281">
    <mergeCell ref="U75:W75"/>
    <mergeCell ref="B104:I104"/>
    <mergeCell ref="A109:J110"/>
    <mergeCell ref="Q109:T110"/>
    <mergeCell ref="N110:P110"/>
    <mergeCell ref="K110:M110"/>
    <mergeCell ref="A108:I108"/>
    <mergeCell ref="B107:I107"/>
    <mergeCell ref="Q96:S96"/>
    <mergeCell ref="A89:T89"/>
    <mergeCell ref="B88:I88"/>
    <mergeCell ref="A82:T82"/>
    <mergeCell ref="A84:T84"/>
    <mergeCell ref="B90:I90"/>
    <mergeCell ref="B87:I87"/>
    <mergeCell ref="A86:T86"/>
    <mergeCell ref="B85:I85"/>
    <mergeCell ref="A79:T79"/>
    <mergeCell ref="J80:J81"/>
    <mergeCell ref="K80:M80"/>
    <mergeCell ref="N80:P80"/>
    <mergeCell ref="A80:A81"/>
    <mergeCell ref="A95:T95"/>
    <mergeCell ref="A94:T94"/>
    <mergeCell ref="B83:I83"/>
    <mergeCell ref="B101:I101"/>
    <mergeCell ref="Q80:S80"/>
    <mergeCell ref="T80:T81"/>
    <mergeCell ref="B80:I81"/>
    <mergeCell ref="U161:X161"/>
    <mergeCell ref="S159:T159"/>
    <mergeCell ref="N159:O159"/>
    <mergeCell ref="L159:M159"/>
    <mergeCell ref="J159:K159"/>
    <mergeCell ref="R158:T158"/>
    <mergeCell ref="P158:Q159"/>
    <mergeCell ref="J158:O158"/>
    <mergeCell ref="H158:I159"/>
    <mergeCell ref="B124:I124"/>
    <mergeCell ref="A166:T166"/>
    <mergeCell ref="A169:A170"/>
    <mergeCell ref="B169:I170"/>
    <mergeCell ref="J169:J170"/>
    <mergeCell ref="K169:M169"/>
    <mergeCell ref="N169:P169"/>
    <mergeCell ref="Q169:S169"/>
    <mergeCell ref="T169:T170"/>
    <mergeCell ref="N162:O162"/>
    <mergeCell ref="P162:Q162"/>
    <mergeCell ref="U4:X4"/>
    <mergeCell ref="U5:X5"/>
    <mergeCell ref="U3:X3"/>
    <mergeCell ref="U6:X6"/>
    <mergeCell ref="U28:V28"/>
    <mergeCell ref="U29:V29"/>
    <mergeCell ref="U42:W42"/>
    <mergeCell ref="U53:W53"/>
    <mergeCell ref="U64:W64"/>
    <mergeCell ref="U9:Z12"/>
    <mergeCell ref="U15:Z17"/>
    <mergeCell ref="U20:AA23"/>
    <mergeCell ref="AA16:AB16"/>
    <mergeCell ref="B45:I46"/>
    <mergeCell ref="A44:T44"/>
    <mergeCell ref="B58:I58"/>
    <mergeCell ref="B75:I75"/>
    <mergeCell ref="T67:T68"/>
    <mergeCell ref="B64:I64"/>
    <mergeCell ref="B67:I68"/>
    <mergeCell ref="B60:I60"/>
    <mergeCell ref="B69:I69"/>
    <mergeCell ref="B70:I70"/>
    <mergeCell ref="B74:I74"/>
    <mergeCell ref="B71:I71"/>
    <mergeCell ref="B72:I72"/>
    <mergeCell ref="B62:I62"/>
    <mergeCell ref="B59:I59"/>
    <mergeCell ref="B73:I73"/>
    <mergeCell ref="B63:I63"/>
    <mergeCell ref="A66:T66"/>
    <mergeCell ref="J67:J68"/>
    <mergeCell ref="K67:M67"/>
    <mergeCell ref="N67:P67"/>
    <mergeCell ref="Q67:S67"/>
    <mergeCell ref="A67:A68"/>
    <mergeCell ref="B35:I36"/>
    <mergeCell ref="M13:T13"/>
    <mergeCell ref="A55:T55"/>
    <mergeCell ref="J56:J57"/>
    <mergeCell ref="K56:M56"/>
    <mergeCell ref="N56:P56"/>
    <mergeCell ref="Q56:S56"/>
    <mergeCell ref="T56:T57"/>
    <mergeCell ref="J35:J36"/>
    <mergeCell ref="A34:T34"/>
    <mergeCell ref="B51:I51"/>
    <mergeCell ref="B53:I53"/>
    <mergeCell ref="B49:I49"/>
    <mergeCell ref="A56:A57"/>
    <mergeCell ref="B56:I57"/>
    <mergeCell ref="B50:I50"/>
    <mergeCell ref="B39:I39"/>
    <mergeCell ref="B37:I37"/>
    <mergeCell ref="B38:I38"/>
    <mergeCell ref="B42:I42"/>
    <mergeCell ref="B47:I47"/>
    <mergeCell ref="B48:I48"/>
    <mergeCell ref="B40:I40"/>
    <mergeCell ref="B41:I41"/>
    <mergeCell ref="A2:K2"/>
    <mergeCell ref="A6:K6"/>
    <mergeCell ref="O5:Q5"/>
    <mergeCell ref="O6:Q6"/>
    <mergeCell ref="O3:Q3"/>
    <mergeCell ref="O4:Q4"/>
    <mergeCell ref="M4:N4"/>
    <mergeCell ref="A10:K10"/>
    <mergeCell ref="M6:N6"/>
    <mergeCell ref="A7:K7"/>
    <mergeCell ref="A8:K8"/>
    <mergeCell ref="A9:K9"/>
    <mergeCell ref="M8:T11"/>
    <mergeCell ref="R5:T5"/>
    <mergeCell ref="R6:T6"/>
    <mergeCell ref="T35:T36"/>
    <mergeCell ref="N35:P35"/>
    <mergeCell ref="K35:M35"/>
    <mergeCell ref="T45:T46"/>
    <mergeCell ref="Q35:S35"/>
    <mergeCell ref="A11:K11"/>
    <mergeCell ref="A12:K12"/>
    <mergeCell ref="A35:A36"/>
    <mergeCell ref="M25:T31"/>
    <mergeCell ref="A20:K23"/>
    <mergeCell ref="M21:T23"/>
    <mergeCell ref="I26:K26"/>
    <mergeCell ref="B26:C26"/>
    <mergeCell ref="H26:H27"/>
    <mergeCell ref="A25:G25"/>
    <mergeCell ref="M16:T18"/>
    <mergeCell ref="J45:J46"/>
    <mergeCell ref="A45:A46"/>
    <mergeCell ref="M15:T15"/>
    <mergeCell ref="A15:K15"/>
    <mergeCell ref="G26:G27"/>
    <mergeCell ref="A13:K13"/>
    <mergeCell ref="A14:K14"/>
    <mergeCell ref="A16:K16"/>
    <mergeCell ref="K93:M93"/>
    <mergeCell ref="N93:P93"/>
    <mergeCell ref="Q92:T93"/>
    <mergeCell ref="A91:I91"/>
    <mergeCell ref="A92:J93"/>
    <mergeCell ref="A113:T113"/>
    <mergeCell ref="A1:K1"/>
    <mergeCell ref="A3:K3"/>
    <mergeCell ref="K45:M45"/>
    <mergeCell ref="M19:T19"/>
    <mergeCell ref="M1:T1"/>
    <mergeCell ref="M14:T14"/>
    <mergeCell ref="A4:K5"/>
    <mergeCell ref="A32:T32"/>
    <mergeCell ref="A19:K19"/>
    <mergeCell ref="A17:K17"/>
    <mergeCell ref="M3:N3"/>
    <mergeCell ref="M5:N5"/>
    <mergeCell ref="D26:F26"/>
    <mergeCell ref="A18:K18"/>
    <mergeCell ref="N45:P45"/>
    <mergeCell ref="Q45:S45"/>
    <mergeCell ref="R3:T3"/>
    <mergeCell ref="R4:T4"/>
    <mergeCell ref="B106:I106"/>
    <mergeCell ref="A114:A115"/>
    <mergeCell ref="B114:I115"/>
    <mergeCell ref="A96:A97"/>
    <mergeCell ref="B96:I97"/>
    <mergeCell ref="J96:J97"/>
    <mergeCell ref="B100:I100"/>
    <mergeCell ref="B103:I103"/>
    <mergeCell ref="B99:I99"/>
    <mergeCell ref="A98:T98"/>
    <mergeCell ref="T96:T97"/>
    <mergeCell ref="A105:T105"/>
    <mergeCell ref="J114:J115"/>
    <mergeCell ref="K114:M114"/>
    <mergeCell ref="T114:T115"/>
    <mergeCell ref="N114:P114"/>
    <mergeCell ref="K96:M96"/>
    <mergeCell ref="N96:P96"/>
    <mergeCell ref="B102:I102"/>
    <mergeCell ref="B135:I135"/>
    <mergeCell ref="A136:I136"/>
    <mergeCell ref="Q114:S114"/>
    <mergeCell ref="B131:I131"/>
    <mergeCell ref="B134:I134"/>
    <mergeCell ref="B132:I132"/>
    <mergeCell ref="B121:I121"/>
    <mergeCell ref="B122:I122"/>
    <mergeCell ref="B123:I123"/>
    <mergeCell ref="B128:I128"/>
    <mergeCell ref="A129:T129"/>
    <mergeCell ref="B130:I130"/>
    <mergeCell ref="B118:I118"/>
    <mergeCell ref="B125:I125"/>
    <mergeCell ref="B126:I126"/>
    <mergeCell ref="B119:I119"/>
    <mergeCell ref="B120:I120"/>
    <mergeCell ref="B127:I127"/>
    <mergeCell ref="B133:I133"/>
    <mergeCell ref="A116:T116"/>
    <mergeCell ref="B117:I117"/>
    <mergeCell ref="A144:T144"/>
    <mergeCell ref="B145:I145"/>
    <mergeCell ref="B146:I146"/>
    <mergeCell ref="B147:I147"/>
    <mergeCell ref="A148:T148"/>
    <mergeCell ref="A137:J138"/>
    <mergeCell ref="A142:A143"/>
    <mergeCell ref="A141:T141"/>
    <mergeCell ref="J142:J143"/>
    <mergeCell ref="K142:M142"/>
    <mergeCell ref="N142:P142"/>
    <mergeCell ref="Q137:T138"/>
    <mergeCell ref="K138:M138"/>
    <mergeCell ref="N138:P138"/>
    <mergeCell ref="B142:I143"/>
    <mergeCell ref="Q142:S142"/>
    <mergeCell ref="T142:T143"/>
    <mergeCell ref="B150:I150"/>
    <mergeCell ref="B149:I149"/>
    <mergeCell ref="A151:I151"/>
    <mergeCell ref="K153:M153"/>
    <mergeCell ref="N153:P153"/>
    <mergeCell ref="A152:J153"/>
    <mergeCell ref="Q152:T153"/>
    <mergeCell ref="A157:B157"/>
    <mergeCell ref="A158:A159"/>
    <mergeCell ref="B158:G159"/>
    <mergeCell ref="S162:T162"/>
    <mergeCell ref="B160:G160"/>
    <mergeCell ref="H160:I160"/>
    <mergeCell ref="J160:K160"/>
    <mergeCell ref="L160:M160"/>
    <mergeCell ref="N160:O160"/>
    <mergeCell ref="P160:Q160"/>
    <mergeCell ref="S160:T160"/>
    <mergeCell ref="B161:G161"/>
    <mergeCell ref="H161:I161"/>
    <mergeCell ref="J161:K161"/>
    <mergeCell ref="L161:M161"/>
    <mergeCell ref="N161:O161"/>
    <mergeCell ref="P161:Q161"/>
    <mergeCell ref="S161:T161"/>
    <mergeCell ref="A162:G162"/>
    <mergeCell ref="H162:I162"/>
    <mergeCell ref="J162:K162"/>
    <mergeCell ref="L162:M162"/>
    <mergeCell ref="B172:I172"/>
    <mergeCell ref="B178:I178"/>
    <mergeCell ref="A186:T186"/>
    <mergeCell ref="A187:T187"/>
    <mergeCell ref="A188:T188"/>
    <mergeCell ref="U168:AH169"/>
    <mergeCell ref="U170:AA193"/>
    <mergeCell ref="AB170:AH193"/>
    <mergeCell ref="A174:T174"/>
    <mergeCell ref="B175:I175"/>
    <mergeCell ref="A177:T177"/>
    <mergeCell ref="B179:I179"/>
    <mergeCell ref="A180:T180"/>
    <mergeCell ref="B181:I181"/>
    <mergeCell ref="A182:I182"/>
    <mergeCell ref="A183:J184"/>
    <mergeCell ref="Q183:T184"/>
    <mergeCell ref="K184:M184"/>
    <mergeCell ref="N184:P184"/>
    <mergeCell ref="B176:I176"/>
    <mergeCell ref="A168:T168"/>
    <mergeCell ref="B173:I173"/>
    <mergeCell ref="A171:T171"/>
  </mergeCells>
  <phoneticPr fontId="5" type="noConversion"/>
  <conditionalFormatting sqref="U161 U3:U6 U28:U29">
    <cfRule type="cellIs" dxfId="23" priority="47" operator="equal">
      <formula>"E bine"</formula>
    </cfRule>
  </conditionalFormatting>
  <conditionalFormatting sqref="U161 U3:U6 U28:U29">
    <cfRule type="cellIs" dxfId="22" priority="46" operator="equal">
      <formula>"NU e bine"</formula>
    </cfRule>
  </conditionalFormatting>
  <conditionalFormatting sqref="U3:V6 U28:V29">
    <cfRule type="cellIs" dxfId="21" priority="39" operator="equal">
      <formula>"Suma trebuie să fie 52"</formula>
    </cfRule>
    <cfRule type="cellIs" dxfId="20" priority="40" operator="equal">
      <formula>"Corect"</formula>
    </cfRule>
    <cfRule type="cellIs" dxfId="19" priority="41" operator="equal">
      <formula>SUM($B$28:$J$28)</formula>
    </cfRule>
    <cfRule type="cellIs" dxfId="18" priority="42" operator="lessThan">
      <formula>"(SUM(B28:K28)=52"</formula>
    </cfRule>
    <cfRule type="cellIs" dxfId="17" priority="43" operator="equal">
      <formula>52</formula>
    </cfRule>
    <cfRule type="cellIs" dxfId="16" priority="44" operator="equal">
      <formula>$K$28</formula>
    </cfRule>
    <cfRule type="cellIs" dxfId="15" priority="45" operator="equal">
      <formula>$B$28:$K$28=52</formula>
    </cfRule>
  </conditionalFormatting>
  <conditionalFormatting sqref="U161:V161 U3:V6 U28:V29">
    <cfRule type="cellIs" dxfId="14" priority="37" operator="equal">
      <formula>"Suma trebuie să fie 52"</formula>
    </cfRule>
    <cfRule type="cellIs" dxfId="13" priority="38" operator="equal">
      <formula>"Corect"</formula>
    </cfRule>
  </conditionalFormatting>
  <conditionalFormatting sqref="U3:X6">
    <cfRule type="cellIs" dxfId="12" priority="36" operator="equal">
      <formula>"Trebuie alocate cel puțin 20 de ore pe săptămână"</formula>
    </cfRule>
  </conditionalFormatting>
  <conditionalFormatting sqref="U161:X161 U28:V29">
    <cfRule type="cellIs" dxfId="11" priority="24" operator="equal">
      <formula>"Corect"</formula>
    </cfRule>
  </conditionalFormatting>
  <conditionalFormatting sqref="U28:V28">
    <cfRule type="cellIs" dxfId="10" priority="23" operator="equal">
      <formula>"Correct"</formula>
    </cfRule>
  </conditionalFormatting>
  <conditionalFormatting sqref="U42:W42 U53:W53 U64:W64 U75:W75">
    <cfRule type="cellIs" dxfId="9" priority="20" operator="equal">
      <formula>"E trebuie să fie cel puțin egal cu C+VP"</formula>
    </cfRule>
    <cfRule type="cellIs" dxfId="8" priority="21" operator="equal">
      <formula>"Corect"</formula>
    </cfRule>
  </conditionalFormatting>
  <conditionalFormatting sqref="U161:V161">
    <cfRule type="cellIs" dxfId="7" priority="2" operator="equal">
      <formula>"Nu corespunde cu tabelul de opționale"</formula>
    </cfRule>
    <cfRule type="cellIs" dxfId="6" priority="3" operator="equal">
      <formula>"Suma trebuie să fie 52"</formula>
    </cfRule>
    <cfRule type="cellIs" dxfId="5" priority="4" operator="equal">
      <formula>"Corect"</formula>
    </cfRule>
    <cfRule type="cellIs" dxfId="4" priority="5" operator="equal">
      <formula>SUM($B$28:$J$28)</formula>
    </cfRule>
    <cfRule type="cellIs" dxfId="3" priority="6" operator="lessThan">
      <formula>"(SUM(B28:K28)=52"</formula>
    </cfRule>
    <cfRule type="cellIs" dxfId="2" priority="7" operator="equal">
      <formula>52</formula>
    </cfRule>
    <cfRule type="cellIs" dxfId="1" priority="8" operator="equal">
      <formula>$K$28</formula>
    </cfRule>
    <cfRule type="cellIs" dxfId="0" priority="9" operator="equal">
      <formula>$B$28:$K$28=52</formula>
    </cfRule>
  </conditionalFormatting>
  <dataValidations count="10">
    <dataValidation type="list" allowBlank="1" showInputMessage="1" showErrorMessage="1" sqref="R175:R176 R178:R179 R133 R90 R74 R85 R181 R83 R172:R173 R87:R88">
      <formula1>$R$36</formula1>
    </dataValidation>
    <dataValidation type="list" allowBlank="1" showInputMessage="1" showErrorMessage="1" sqref="Q175:Q176 Q178:Q179 Q133 Q90 Q74 Q85 Q181 Q83 Q172:Q173 Q87:Q88">
      <formula1>$Q$36</formula1>
    </dataValidation>
    <dataValidation type="list" allowBlank="1" showInputMessage="1" showErrorMessage="1" sqref="S175:S176 S178:S179 S133 S90 S181 S87:S88 S83 S85 S172:S173 S74">
      <formula1>$S$36</formula1>
    </dataValidation>
    <dataValidation type="list" allowBlank="1" showInputMessage="1" showErrorMessage="1" sqref="T99:T103 T90 T130:T134 T87:T88 T85 T83 T74 T145:T146 T117:T127 T106 T149">
      <formula1>$O$33:$S$33</formula1>
    </dataValidation>
    <dataValidation type="list" allowBlank="1" showInputMessage="1" showErrorMessage="1" sqref="T128 T147 T104">
      <formula1>$P$33:$S$33</formula1>
    </dataValidation>
    <dataValidation type="list" allowBlank="1" showInputMessage="1" showErrorMessage="1" sqref="T47:T52 T37:T41 T58:T63 T69:T73">
      <formula1>#REF!</formula1>
    </dataValidation>
    <dataValidation type="list" allowBlank="1" showInputMessage="1" showErrorMessage="1" sqref="S37:S41 S69:S73 S58:S63 S52 S47:S50">
      <formula1>$S$34</formula1>
    </dataValidation>
    <dataValidation type="list" allowBlank="1" showInputMessage="1" showErrorMessage="1" sqref="Q37:Q41 Q69:Q73 Q58:Q63 Q52 Q47:Q50">
      <formula1>$Q$34</formula1>
    </dataValidation>
    <dataValidation type="list" allowBlank="1" showInputMessage="1" showErrorMessage="1" sqref="R37:R41 R69:R73 R58:R63 R47:R50">
      <formula1>$R$34</formula1>
    </dataValidation>
    <dataValidation type="list" allowBlank="1" showInputMessage="1" showErrorMessage="1" sqref="B106:I106 B117:I127 B145:I146 B99:I103 B130:I132 B134:I134 B133 B149:I149">
      <formula1>$B$35:$B$93</formula1>
    </dataValidation>
  </dataValidations>
  <pageMargins left="0.7" right="0.7" top="0.75" bottom="0.75" header="0.3" footer="0.3"/>
  <pageSetup paperSize="9" orientation="landscape" blackAndWhite="1" r:id="rId1"/>
  <headerFooter>
    <oddHeader>&amp;C
&amp;R&amp;P</oddHeader>
    <oddFooter>&amp;LRECTOR,
Acad.Prof.univ.dr. Ioan Aurel POP&amp;CDECAN,
Prof. univ. dr. Nicolae PĂUN&amp;R                                           DIRECTOR DE DEPARTAMENT,
Conf. univ. dr. Nicoleta Dorina RACOLȚA-PAINA</oddFooter>
  </headerFooter>
  <ignoredErrors>
    <ignoredError sqref="Q42 P73" formula="1"/>
    <ignoredError sqref="K9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8CD848C23F374E82F1C501FC5202DB" ma:contentTypeVersion="0" ma:contentTypeDescription="Create a new document." ma:contentTypeScope="" ma:versionID="cd50e582d94784a96fe3f6a5afb63be3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54E7A1D-D733-4215-B5BA-4564572BE7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47E3DA-5698-49A4-92EA-B6C4521E51D0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6E73D1-1D2F-4165-AE3C-0DA4687C7C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Adi</cp:lastModifiedBy>
  <cp:lastPrinted>2019-02-06T11:34:58Z</cp:lastPrinted>
  <dcterms:created xsi:type="dcterms:W3CDTF">2013-06-27T08:19:59Z</dcterms:created>
  <dcterms:modified xsi:type="dcterms:W3CDTF">2019-02-06T16:42:51Z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0x010100FB8CD848C23F374E82F1C501FC5202DB</vt:lpwstr>
  </property>
</Properties>
</file>